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3.xml" ContentType="application/vnd.openxmlformats-officedocument.drawing+xml"/>
  <Override PartName="/xl/comments10.xml" ContentType="application/vnd.openxmlformats-officedocument.spreadsheetml.comments+xml"/>
  <Override PartName="/xl/charts/chart9.xml" ContentType="application/vnd.openxmlformats-officedocument.drawingml.chart+xml"/>
  <Override PartName="/xl/drawings/drawing4.xml" ContentType="application/vnd.openxmlformats-officedocument.drawingml.chartshapes+xml"/>
  <Override PartName="/xl/charts/chart10.xml" ContentType="application/vnd.openxmlformats-officedocument.drawingml.chart+xml"/>
  <Override PartName="/xl/drawings/drawing5.xml" ContentType="application/vnd.openxmlformats-officedocument.drawingml.chartshape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Projects\TAC\TAC Annual Report Markdown\"/>
    </mc:Choice>
  </mc:AlternateContent>
  <bookViews>
    <workbookView xWindow="0" yWindow="0" windowWidth="23040" windowHeight="9876" tabRatio="919" firstSheet="49" activeTab="55"/>
  </bookViews>
  <sheets>
    <sheet name="Information" sheetId="69" r:id="rId1"/>
    <sheet name="T1 " sheetId="4" r:id="rId2"/>
    <sheet name="T2" sheetId="70" r:id="rId3"/>
    <sheet name="T3" sheetId="91" r:id="rId4"/>
    <sheet name="T4" sheetId="92" r:id="rId5"/>
    <sheet name="T5" sheetId="5" r:id="rId6"/>
    <sheet name="T6" sheetId="6" r:id="rId7"/>
    <sheet name="T7Static" sheetId="3" r:id="rId8"/>
    <sheet name="T7Manip" sheetId="93" r:id="rId9"/>
    <sheet name="T8Static" sheetId="94" r:id="rId10"/>
    <sheet name="T8Manip" sheetId="7" r:id="rId11"/>
    <sheet name="T9" sheetId="71" r:id="rId12"/>
    <sheet name="T10manip" sheetId="10" r:id="rId13"/>
    <sheet name="T10" sheetId="101" r:id="rId14"/>
    <sheet name="T11" sheetId="102" r:id="rId15"/>
    <sheet name="T12" sheetId="20" r:id="rId16"/>
    <sheet name="T13" sheetId="8" r:id="rId17"/>
    <sheet name="T14" sheetId="9" r:id="rId18"/>
    <sheet name="T15" sheetId="41" r:id="rId19"/>
    <sheet name="T16 " sheetId="67" r:id="rId20"/>
    <sheet name="T17" sheetId="68" r:id="rId21"/>
    <sheet name="T18" sheetId="43" r:id="rId22"/>
    <sheet name="T19 " sheetId="45" r:id="rId23"/>
    <sheet name="T20" sheetId="44" r:id="rId24"/>
    <sheet name="T21" sheetId="46" r:id="rId25"/>
    <sheet name="T22" sheetId="47" r:id="rId26"/>
    <sheet name="T23" sheetId="103" r:id="rId27"/>
    <sheet name="T24" sheetId="49" r:id="rId28"/>
    <sheet name="T25" sheetId="104" r:id="rId29"/>
    <sheet name="T26" sheetId="61" r:id="rId30"/>
    <sheet name="T27" sheetId="63" r:id="rId31"/>
    <sheet name="T28" sheetId="62" r:id="rId32"/>
    <sheet name="T29" sheetId="65" r:id="rId33"/>
    <sheet name="T30" sheetId="72" r:id="rId34"/>
    <sheet name="T31" sheetId="73" r:id="rId35"/>
    <sheet name="T32" sheetId="74" r:id="rId36"/>
    <sheet name="T33" sheetId="75" r:id="rId37"/>
    <sheet name="T34" sheetId="51" r:id="rId38"/>
    <sheet name="T35" sheetId="76" r:id="rId39"/>
    <sheet name="T36" sheetId="60" r:id="rId40"/>
    <sheet name="T37" sheetId="59" r:id="rId41"/>
    <sheet name="T38" sheetId="58" r:id="rId42"/>
    <sheet name="T39" sheetId="57" r:id="rId43"/>
    <sheet name="T40" sheetId="56" r:id="rId44"/>
    <sheet name="T41" sheetId="55" r:id="rId45"/>
    <sheet name="T42" sheetId="54" r:id="rId46"/>
    <sheet name="T43" sheetId="53" r:id="rId47"/>
    <sheet name="T44" sheetId="88" r:id="rId48"/>
    <sheet name="T45" sheetId="77" r:id="rId49"/>
    <sheet name="T46" sheetId="78" r:id="rId50"/>
    <sheet name="T47" sheetId="79" r:id="rId51"/>
    <sheet name="T48" sheetId="80" r:id="rId52"/>
    <sheet name="T49" sheetId="82" r:id="rId53"/>
    <sheet name="T50" sheetId="86" r:id="rId54"/>
    <sheet name="T51" sheetId="81" r:id="rId55"/>
    <sheet name="T52" sheetId="89" r:id="rId56"/>
    <sheet name="Figures" sheetId="83" r:id="rId57"/>
    <sheet name="A1 2018 ESA Impacts" sheetId="84" r:id="rId58"/>
    <sheet name="A2 Treaty Trib ESA Impacts" sheetId="87" r:id="rId59"/>
    <sheet name="A3 RME ESA Impact" sheetId="90" r:id="rId60"/>
    <sheet name="A2 fall model" sheetId="85" r:id="rId61"/>
    <sheet name="Abundance data" sheetId="27" r:id="rId62"/>
    <sheet name="ESA Impact 2014" sheetId="33" state="hidden" r:id="rId63"/>
    <sheet name="ESA Impact 2013" sheetId="31" state="hidden" r:id="rId64"/>
    <sheet name=" ESA Impact 2012" sheetId="14" state="hidden" r:id="rId65"/>
    <sheet name="ESA Impact 2011" sheetId="15" state="hidden" r:id="rId66"/>
    <sheet name="ESA Impact 2010" sheetId="16" state="hidden" r:id="rId67"/>
    <sheet name="ESA Impact 2009" sheetId="17" state="hidden" r:id="rId68"/>
    <sheet name="ESA Impact 2008" sheetId="18" state="hidden" r:id="rId69"/>
    <sheet name="OR_ID Spring Detail" sheetId="21" r:id="rId70"/>
    <sheet name="AppendixA ESA 2017" sheetId="24" r:id="rId71"/>
    <sheet name="LGR Sthd" sheetId="26" r:id="rId72"/>
    <sheet name="BonSThd" sheetId="28" r:id="rId73"/>
  </sheets>
  <definedNames>
    <definedName name="_Ref485815493" localSheetId="24">'T21'!#REF!</definedName>
    <definedName name="_Ref485817383" localSheetId="13">#REF!</definedName>
    <definedName name="_Ref485817383" localSheetId="14">#REF!</definedName>
    <definedName name="_Ref485817383" localSheetId="26">#REF!</definedName>
    <definedName name="_Ref485817383" localSheetId="28">#REF!</definedName>
    <definedName name="_Ref485817383" localSheetId="3">#REF!</definedName>
    <definedName name="_Ref485817383" localSheetId="4">#REF!</definedName>
    <definedName name="_Ref485817383" localSheetId="8">#REF!</definedName>
    <definedName name="_Ref485817383" localSheetId="9">#REF!</definedName>
    <definedName name="_Ref485817383">#REF!</definedName>
    <definedName name="_Ref494200252" localSheetId="1">'T1 '!#REF!</definedName>
    <definedName name="_Ref494205974" localSheetId="4">'T4'!#REF!</definedName>
    <definedName name="_Ref494206109" localSheetId="5">'T5'!#REF!</definedName>
    <definedName name="_Ref494206189" localSheetId="10">T8Manip!$B$2</definedName>
    <definedName name="_Ref494206189" localSheetId="9">T8Static!#REF!</definedName>
    <definedName name="_Ref494206231" localSheetId="8">T7Manip!#REF!</definedName>
    <definedName name="_Ref494206231" localSheetId="7">T7Static!#REF!</definedName>
    <definedName name="_Ref494206621" localSheetId="11">'T9'!#REF!</definedName>
    <definedName name="_Ref495000923" localSheetId="14">'T11'!#REF!</definedName>
    <definedName name="_Ref495001084" localSheetId="17">'T14'!#REF!</definedName>
    <definedName name="_Ref495001108" localSheetId="16">'T13'!#REF!</definedName>
    <definedName name="_Ref495001160" localSheetId="15">'T12'!#REF!</definedName>
    <definedName name="_Ref495001205" localSheetId="18">'T15'!#REF!</definedName>
    <definedName name="_Ref495001221" localSheetId="19">'T16 '!#REF!</definedName>
    <definedName name="_Ref495001236" localSheetId="20">'T17'!#REF!</definedName>
    <definedName name="_Ref495001559" localSheetId="23">'T20'!#REF!</definedName>
    <definedName name="_Ref495001681" localSheetId="26">'T23'!#REF!</definedName>
    <definedName name="_Ref495001694" localSheetId="27">'T24'!#REF!</definedName>
    <definedName name="_Ref495001694" localSheetId="28">'T25'!#REF!</definedName>
    <definedName name="_Ref495001820" localSheetId="37">'T34'!#REF!</definedName>
    <definedName name="_Ref513058402" localSheetId="48">'T45'!#REF!</definedName>
    <definedName name="_Ref513058835" localSheetId="50">'T47'!#REF!</definedName>
    <definedName name="_Ref513060528" localSheetId="51">'T48'!#REF!</definedName>
    <definedName name="_Ref513060535" localSheetId="52">'T49'!#REF!</definedName>
    <definedName name="_Ref513060537" localSheetId="54">'T51'!#REF!</definedName>
    <definedName name="_Ref513145221" localSheetId="13">'T10'!#REF!</definedName>
    <definedName name="_Ref513145221" localSheetId="12">T10manip!$B$2</definedName>
    <definedName name="_Ref513145278" localSheetId="22">'T19 '!#REF!</definedName>
    <definedName name="_Ref513145731" localSheetId="40">'T37'!#REF!</definedName>
    <definedName name="_Ref513145814" localSheetId="41">'T38'!#REF!</definedName>
    <definedName name="_Ref513145849" localSheetId="46">'T43'!#REF!</definedName>
    <definedName name="_Ref513151295" localSheetId="29">'T26'!#REF!</definedName>
    <definedName name="_Ref513152205" localSheetId="31">'T28'!#REF!</definedName>
    <definedName name="_Ref513154026" localSheetId="36">'T33'!#REF!</definedName>
    <definedName name="_Toc451091341" localSheetId="13">'T10'!#REF!</definedName>
    <definedName name="_Toc451091341" localSheetId="12">T10manip!$E$79</definedName>
    <definedName name="_Toc451091373" localSheetId="56">Figures!$L$45</definedName>
    <definedName name="_Toc451091374" localSheetId="56">Figures!$C$67</definedName>
    <definedName name="_Toc485835501" localSheetId="4">'T4'!#REF!</definedName>
    <definedName name="_Toc485835509" localSheetId="24">'T21'!#REF!</definedName>
    <definedName name="_Toc485835523" localSheetId="61">'Abundance data'!$C$84</definedName>
    <definedName name="_Toc485835525" localSheetId="61">'Abundance data'!$C$102</definedName>
    <definedName name="_Toc485835622" localSheetId="44">'T41'!#REF!</definedName>
    <definedName name="_Toc485835623" localSheetId="45">'T42'!#REF!</definedName>
    <definedName name="_Toc485835624" localSheetId="46">'T43'!#REF!</definedName>
    <definedName name="_Toc485835629" localSheetId="41">'T38'!#REF!</definedName>
    <definedName name="_Toc485835630" localSheetId="42">'T39'!#REF!</definedName>
    <definedName name="_Toc485835631" localSheetId="43">'T40'!#REF!</definedName>
    <definedName name="_Toc485835640" localSheetId="37">'T34'!#REF!</definedName>
    <definedName name="_Toc485835641" localSheetId="39">'T36'!#REF!</definedName>
    <definedName name="_Toc485835642" localSheetId="40">'T37'!#REF!</definedName>
    <definedName name="_Toc488068420" localSheetId="16">'T13'!#REF!</definedName>
    <definedName name="_Toc488944066" localSheetId="16">'T13'!#REF!</definedName>
    <definedName name="_Toc489948203" localSheetId="18">'T15'!#REF!</definedName>
    <definedName name="_Toc489948205" localSheetId="21">'T18'!#REF!</definedName>
    <definedName name="_Toc489948207" localSheetId="25">'T22'!#REF!</definedName>
    <definedName name="_Toc489948208" localSheetId="26">'T23'!#REF!</definedName>
    <definedName name="_Toc489948209" localSheetId="27">'T24'!#REF!</definedName>
    <definedName name="_Toc489948209" localSheetId="28">'T25'!#REF!</definedName>
    <definedName name="_Toc513060986" localSheetId="21">'T18'!#REF!</definedName>
    <definedName name="_Toc513061017" localSheetId="57">'A1 2018 ESA Impacts'!$B$2</definedName>
    <definedName name="_Toc513061018" localSheetId="60">'A2 fall model'!$B$2</definedName>
    <definedName name="_Toc513192380" localSheetId="2">'T2'!#REF!</definedName>
    <definedName name="_Toc513192380" localSheetId="3">'T3'!#REF!</definedName>
    <definedName name="_Toc513192398" localSheetId="24">'T21'!#REF!</definedName>
    <definedName name="_Toc513192399" localSheetId="25">'T22'!#REF!</definedName>
    <definedName name="_Toc513192404" localSheetId="30">'T27'!#REF!</definedName>
    <definedName name="_Toc513192406" localSheetId="32">'T29'!#REF!</definedName>
    <definedName name="_Toc513192407" localSheetId="33">'T30'!#REF!</definedName>
    <definedName name="_Toc513192408" localSheetId="34">'T31'!#REF!</definedName>
    <definedName name="_Toc513192409" localSheetId="35">'T32'!#REF!</definedName>
    <definedName name="_Toc513192416" localSheetId="42">'T39'!#REF!</definedName>
    <definedName name="_Toc513192422" localSheetId="49">'T46'!#REF!</definedName>
    <definedName name="_Toc513192427" localSheetId="56">Figures!$C$21</definedName>
    <definedName name="_Toc513192428" localSheetId="56">Figures!$C$41</definedName>
    <definedName name="_Toc513192429" localSheetId="56">Figures!$L$23</definedName>
    <definedName name="_Toc513192432" localSheetId="56">Figures!$L$66</definedName>
    <definedName name="_Toc513192433" localSheetId="56">Figures!$C$88</definedName>
    <definedName name="_xlnm.Print_Area" localSheetId="70">'AppendixA ESA 2017'!$B$1:$L$34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102" l="1"/>
  <c r="I4" i="102"/>
  <c r="H4" i="102"/>
  <c r="G4" i="102"/>
  <c r="F4" i="102"/>
  <c r="E4" i="102"/>
  <c r="D4" i="102"/>
  <c r="C4" i="102"/>
  <c r="B4" i="102"/>
  <c r="D46" i="10"/>
  <c r="E68" i="10" l="1"/>
  <c r="G12" i="7" l="1"/>
  <c r="H12" i="7"/>
  <c r="I12" i="94"/>
  <c r="G12" i="94"/>
  <c r="F12" i="94"/>
  <c r="E12" i="94"/>
  <c r="I11" i="94"/>
  <c r="G11" i="94"/>
  <c r="F11" i="94"/>
  <c r="E11" i="94"/>
  <c r="I10" i="94"/>
  <c r="G10" i="94"/>
  <c r="F10" i="94"/>
  <c r="E10" i="94"/>
  <c r="I9" i="94"/>
  <c r="G9" i="94"/>
  <c r="F9" i="94"/>
  <c r="E9" i="94"/>
  <c r="I8" i="94"/>
  <c r="G8" i="94"/>
  <c r="F8" i="94"/>
  <c r="E8" i="94"/>
  <c r="I7" i="94"/>
  <c r="G7" i="94"/>
  <c r="F7" i="94"/>
  <c r="E7" i="94"/>
  <c r="I6" i="94"/>
  <c r="G6" i="94"/>
  <c r="F6" i="94"/>
  <c r="E6" i="94"/>
  <c r="I5" i="94"/>
  <c r="G5" i="94"/>
  <c r="F5" i="94"/>
  <c r="E5" i="94"/>
  <c r="I4" i="94"/>
  <c r="G4" i="94"/>
  <c r="F4" i="94"/>
  <c r="E4" i="94"/>
  <c r="I3" i="94"/>
  <c r="G3" i="94"/>
  <c r="F3" i="94"/>
  <c r="E3" i="94"/>
  <c r="I2" i="94"/>
  <c r="G2" i="94"/>
  <c r="F2" i="94"/>
  <c r="E2" i="94"/>
  <c r="E3" i="3" l="1"/>
  <c r="B3" i="3"/>
  <c r="W9" i="93"/>
  <c r="W8" i="93"/>
  <c r="E4" i="93"/>
  <c r="J4" i="93" s="1"/>
  <c r="L4" i="93" s="1"/>
  <c r="B4" i="93"/>
  <c r="K3" i="93"/>
  <c r="L3" i="93" s="1"/>
  <c r="J3" i="93"/>
  <c r="K2" i="3"/>
  <c r="J2" i="3"/>
  <c r="L2" i="3" l="1"/>
  <c r="F17" i="87" l="1"/>
  <c r="I17" i="87"/>
  <c r="I16" i="87"/>
  <c r="F14" i="87"/>
  <c r="I14" i="87"/>
  <c r="F11" i="87"/>
  <c r="I12" i="87"/>
  <c r="I11" i="87"/>
  <c r="G17" i="90"/>
  <c r="D15" i="90"/>
  <c r="D14" i="90"/>
  <c r="D13" i="90"/>
  <c r="G13" i="90"/>
  <c r="D9" i="90"/>
  <c r="D8" i="90"/>
  <c r="D7" i="90"/>
  <c r="D12" i="90"/>
  <c r="D11" i="90"/>
  <c r="D10" i="90"/>
  <c r="D6" i="90"/>
  <c r="G6" i="90"/>
  <c r="E13" i="90"/>
  <c r="I10" i="87" l="1"/>
  <c r="I8" i="87"/>
  <c r="F12" i="87"/>
  <c r="E14" i="90" l="1"/>
  <c r="E15" i="90"/>
  <c r="F11" i="78"/>
  <c r="E21" i="90" s="1"/>
  <c r="E11" i="78"/>
  <c r="E20" i="90" s="1"/>
  <c r="D11" i="78"/>
  <c r="C11" i="78"/>
  <c r="B11" i="78"/>
  <c r="E17" i="90" s="1"/>
  <c r="G11" i="78"/>
  <c r="E22" i="90" s="1"/>
  <c r="H11" i="78"/>
  <c r="E23" i="90" s="1"/>
  <c r="I11" i="78"/>
  <c r="E24" i="90" s="1"/>
  <c r="E12" i="90"/>
  <c r="E11" i="90"/>
  <c r="E10" i="90"/>
  <c r="E18" i="90" l="1"/>
  <c r="E19" i="90"/>
  <c r="E6" i="90"/>
  <c r="E9" i="90"/>
  <c r="E8" i="90"/>
  <c r="E7" i="90"/>
  <c r="G16" i="84" l="1"/>
  <c r="E16" i="84"/>
  <c r="H13" i="84"/>
  <c r="G13" i="84"/>
  <c r="E13" i="84"/>
  <c r="G7" i="84"/>
  <c r="E7" i="84"/>
  <c r="I16" i="84" l="1"/>
  <c r="I13" i="84"/>
  <c r="I7" i="84"/>
  <c r="C40" i="21" l="1"/>
  <c r="B40" i="21" s="1"/>
  <c r="D40" i="21"/>
  <c r="C12" i="6" l="1"/>
  <c r="B12" i="6" l="1"/>
  <c r="G18" i="7" l="1"/>
  <c r="H18" i="7"/>
  <c r="F9" i="7"/>
  <c r="F10" i="7"/>
  <c r="F11" i="7"/>
  <c r="F12" i="7"/>
  <c r="F13" i="7"/>
  <c r="F14" i="7"/>
  <c r="F15" i="7"/>
  <c r="F16" i="7"/>
  <c r="F17" i="7"/>
  <c r="F18" i="7"/>
  <c r="J18" i="7"/>
  <c r="E22" i="84" l="1"/>
  <c r="M2" i="5"/>
  <c r="F2" i="6" s="1"/>
  <c r="J2" i="6" s="1"/>
  <c r="M3" i="5"/>
  <c r="F3" i="6" s="1"/>
  <c r="J3" i="6" s="1"/>
  <c r="M4" i="5"/>
  <c r="F4" i="6" s="1"/>
  <c r="J4" i="6" s="1"/>
  <c r="M5" i="5"/>
  <c r="F5" i="6" s="1"/>
  <c r="J5" i="6" s="1"/>
  <c r="M6" i="5"/>
  <c r="F6" i="6" s="1"/>
  <c r="J6" i="6" s="1"/>
  <c r="M7" i="5"/>
  <c r="F7" i="6" s="1"/>
  <c r="J7" i="6" s="1"/>
  <c r="M8" i="5"/>
  <c r="F8" i="6" s="1"/>
  <c r="J8" i="6" s="1"/>
  <c r="M9" i="5"/>
  <c r="F9" i="6" s="1"/>
  <c r="J9" i="6" s="1"/>
  <c r="M10" i="5"/>
  <c r="F10" i="6" s="1"/>
  <c r="J10" i="6" s="1"/>
  <c r="M11" i="5"/>
  <c r="F11" i="6" s="1"/>
  <c r="J11" i="6" s="1"/>
  <c r="N12" i="5"/>
  <c r="N11" i="5"/>
  <c r="O11" i="5"/>
  <c r="O12" i="5"/>
  <c r="K12" i="6"/>
  <c r="H12" i="6"/>
  <c r="I12" i="6" s="1"/>
  <c r="H12" i="70"/>
  <c r="I12" i="70"/>
  <c r="E8" i="84" s="1"/>
  <c r="I8" i="84" s="1"/>
  <c r="G12" i="70"/>
  <c r="I6" i="70"/>
  <c r="I7" i="70"/>
  <c r="J7" i="70" s="1"/>
  <c r="I8" i="70"/>
  <c r="I9" i="70"/>
  <c r="I10" i="70"/>
  <c r="I11" i="70"/>
  <c r="H3" i="70"/>
  <c r="H4" i="70"/>
  <c r="H5" i="70"/>
  <c r="H6" i="70"/>
  <c r="H7" i="70"/>
  <c r="H8" i="70"/>
  <c r="H9" i="70"/>
  <c r="H10" i="70"/>
  <c r="H11" i="70"/>
  <c r="G7" i="70"/>
  <c r="G12" i="4"/>
  <c r="F12" i="4"/>
  <c r="D11" i="21"/>
  <c r="D12" i="21"/>
  <c r="D13" i="21"/>
  <c r="D14" i="21"/>
  <c r="D15" i="21"/>
  <c r="D16" i="21"/>
  <c r="D17" i="21"/>
  <c r="D18" i="21"/>
  <c r="B18" i="21" s="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10" i="21"/>
  <c r="I5" i="70"/>
  <c r="I4" i="70"/>
  <c r="I3" i="70"/>
  <c r="I2" i="70"/>
  <c r="H2" i="70"/>
  <c r="J8" i="70"/>
  <c r="Z30" i="27"/>
  <c r="Y30" i="27"/>
  <c r="N17" i="27"/>
  <c r="M17" i="27"/>
  <c r="L17" i="27"/>
  <c r="K17" i="27"/>
  <c r="J17" i="27"/>
  <c r="I17" i="27"/>
  <c r="H17" i="27"/>
  <c r="G17" i="27"/>
  <c r="F17" i="27"/>
  <c r="E17" i="27"/>
  <c r="C39" i="26"/>
  <c r="M16" i="27"/>
  <c r="L16" i="27"/>
  <c r="K16" i="27"/>
  <c r="J16" i="27"/>
  <c r="I16" i="27"/>
  <c r="H16" i="27"/>
  <c r="G16" i="27"/>
  <c r="F16" i="27"/>
  <c r="N16" i="27"/>
  <c r="E16" i="27"/>
  <c r="N9" i="27"/>
  <c r="M9" i="27"/>
  <c r="L9" i="27"/>
  <c r="N8" i="27"/>
  <c r="M8" i="27"/>
  <c r="L8" i="27"/>
  <c r="H11" i="6"/>
  <c r="I11" i="6" s="1"/>
  <c r="G90" i="10"/>
  <c r="F90" i="10"/>
  <c r="G89" i="10"/>
  <c r="F89" i="10"/>
  <c r="G88" i="10"/>
  <c r="F88" i="10"/>
  <c r="G87" i="10"/>
  <c r="G93" i="10" s="1"/>
  <c r="F87" i="10"/>
  <c r="G86" i="10"/>
  <c r="F86" i="10"/>
  <c r="G85" i="10"/>
  <c r="G82" i="10"/>
  <c r="G91" i="10"/>
  <c r="F85" i="10"/>
  <c r="F82" i="10"/>
  <c r="F91" i="10"/>
  <c r="G84" i="10"/>
  <c r="F84" i="10"/>
  <c r="F93" i="10" s="1"/>
  <c r="G83" i="10"/>
  <c r="G92" i="10" s="1"/>
  <c r="F83" i="10"/>
  <c r="V70" i="7"/>
  <c r="R72" i="7"/>
  <c r="M72" i="7"/>
  <c r="I72" i="7"/>
  <c r="J72" i="7" s="1"/>
  <c r="N71" i="7"/>
  <c r="R71" i="7"/>
  <c r="I71" i="7"/>
  <c r="J71" i="7"/>
  <c r="W70" i="7"/>
  <c r="R70" i="7"/>
  <c r="I70" i="7"/>
  <c r="J70" i="7"/>
  <c r="V69" i="7"/>
  <c r="U69" i="7"/>
  <c r="T69" i="7"/>
  <c r="T70" i="7" s="1"/>
  <c r="N69" i="7"/>
  <c r="R69" i="7" s="1"/>
  <c r="I69" i="7"/>
  <c r="H69" i="7"/>
  <c r="J69" i="7" s="1"/>
  <c r="G14" i="7" s="1"/>
  <c r="H14" i="33" s="1"/>
  <c r="AC68" i="7"/>
  <c r="T68" i="7"/>
  <c r="R68" i="7"/>
  <c r="M68" i="7"/>
  <c r="I68" i="7"/>
  <c r="J68" i="7"/>
  <c r="AC67" i="7"/>
  <c r="J12" i="7"/>
  <c r="T67" i="7"/>
  <c r="R67" i="7"/>
  <c r="M67" i="7"/>
  <c r="I67" i="7"/>
  <c r="J67" i="7"/>
  <c r="T66" i="7"/>
  <c r="R66" i="7"/>
  <c r="M66" i="7"/>
  <c r="I66" i="7"/>
  <c r="J66" i="7"/>
  <c r="T65" i="7"/>
  <c r="R65" i="7"/>
  <c r="M65" i="7"/>
  <c r="I65" i="7"/>
  <c r="J65" i="7" s="1"/>
  <c r="G10" i="7" s="1"/>
  <c r="AC64" i="7"/>
  <c r="W64" i="7"/>
  <c r="T64" i="7"/>
  <c r="R64" i="7"/>
  <c r="H9" i="7"/>
  <c r="M64" i="7"/>
  <c r="I64" i="7"/>
  <c r="J64" i="7"/>
  <c r="W63" i="7"/>
  <c r="T63" i="7"/>
  <c r="R63" i="7"/>
  <c r="M63" i="7"/>
  <c r="I63" i="7"/>
  <c r="J63" i="7"/>
  <c r="R62" i="7"/>
  <c r="J62" i="7"/>
  <c r="R61" i="7"/>
  <c r="F61" i="7"/>
  <c r="J61" i="7"/>
  <c r="R60" i="7"/>
  <c r="I60" i="7"/>
  <c r="J60" i="7"/>
  <c r="R59" i="7"/>
  <c r="J59" i="7"/>
  <c r="R58" i="7"/>
  <c r="J58" i="7"/>
  <c r="R57" i="7"/>
  <c r="I57" i="7"/>
  <c r="H57" i="7"/>
  <c r="J57" i="7"/>
  <c r="R56" i="7"/>
  <c r="I56" i="7"/>
  <c r="C56" i="7"/>
  <c r="J56" i="7" s="1"/>
  <c r="R55" i="7"/>
  <c r="I55" i="7"/>
  <c r="J55" i="7" s="1"/>
  <c r="R54" i="7"/>
  <c r="H54" i="7"/>
  <c r="J54" i="7" s="1"/>
  <c r="R53" i="7"/>
  <c r="H53" i="7"/>
  <c r="J53" i="7" s="1"/>
  <c r="R52" i="7"/>
  <c r="J52" i="7"/>
  <c r="R51" i="7"/>
  <c r="F51" i="7"/>
  <c r="J51" i="7" s="1"/>
  <c r="R50" i="7"/>
  <c r="J50" i="7"/>
  <c r="R49" i="7"/>
  <c r="J49" i="7"/>
  <c r="R48" i="7"/>
  <c r="J48" i="7"/>
  <c r="R47" i="7"/>
  <c r="J47" i="7"/>
  <c r="R46" i="7"/>
  <c r="J46" i="7"/>
  <c r="R45" i="7"/>
  <c r="J45" i="7"/>
  <c r="R44" i="7"/>
  <c r="J44" i="7"/>
  <c r="R43" i="7"/>
  <c r="J43" i="7"/>
  <c r="R42" i="7"/>
  <c r="J42" i="7"/>
  <c r="R41" i="7"/>
  <c r="J41" i="7"/>
  <c r="R40" i="7"/>
  <c r="J40" i="7"/>
  <c r="R39" i="7"/>
  <c r="J39" i="7"/>
  <c r="R38" i="7"/>
  <c r="J38" i="7"/>
  <c r="R37" i="7"/>
  <c r="J37" i="7"/>
  <c r="R36" i="7"/>
  <c r="J36" i="7"/>
  <c r="R35" i="7"/>
  <c r="J35" i="7"/>
  <c r="B35" i="7"/>
  <c r="B36" i="7"/>
  <c r="B37" i="7" s="1"/>
  <c r="B38" i="7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R34" i="7"/>
  <c r="J34" i="7"/>
  <c r="F8" i="7"/>
  <c r="G11" i="7"/>
  <c r="H17" i="7"/>
  <c r="K11" i="6"/>
  <c r="H10" i="6"/>
  <c r="I10" i="6" s="1"/>
  <c r="H5" i="6"/>
  <c r="I5" i="6" s="1"/>
  <c r="H21" i="24"/>
  <c r="H23" i="24" s="1"/>
  <c r="H17" i="24"/>
  <c r="H18" i="24"/>
  <c r="E71" i="10"/>
  <c r="E72" i="10"/>
  <c r="E73" i="10"/>
  <c r="E74" i="10"/>
  <c r="E75" i="10"/>
  <c r="E76" i="10"/>
  <c r="E70" i="10"/>
  <c r="E69" i="10"/>
  <c r="E57" i="10"/>
  <c r="E58" i="10"/>
  <c r="E59" i="10"/>
  <c r="E60" i="10"/>
  <c r="E61" i="10"/>
  <c r="E62" i="10"/>
  <c r="E63" i="10"/>
  <c r="K63" i="10" s="1"/>
  <c r="E64" i="10"/>
  <c r="E56" i="10"/>
  <c r="E43" i="10"/>
  <c r="E44" i="10"/>
  <c r="E45" i="10"/>
  <c r="E46" i="10"/>
  <c r="E47" i="10"/>
  <c r="E48" i="10"/>
  <c r="K48" i="10" s="1"/>
  <c r="E49" i="10"/>
  <c r="E50" i="10"/>
  <c r="E42" i="10"/>
  <c r="E32" i="10"/>
  <c r="E33" i="10"/>
  <c r="E34" i="10"/>
  <c r="E35" i="10"/>
  <c r="E36" i="10"/>
  <c r="K36" i="10" s="1"/>
  <c r="E37" i="10"/>
  <c r="K37" i="10" s="1"/>
  <c r="E38" i="10"/>
  <c r="E31" i="10"/>
  <c r="E30" i="10"/>
  <c r="E26" i="10"/>
  <c r="E25" i="10"/>
  <c r="E24" i="10"/>
  <c r="E23" i="10"/>
  <c r="K23" i="10" s="1"/>
  <c r="E22" i="10"/>
  <c r="K22" i="10" s="1"/>
  <c r="E21" i="10"/>
  <c r="E20" i="10"/>
  <c r="E19" i="10"/>
  <c r="E18" i="10"/>
  <c r="E7" i="10"/>
  <c r="E8" i="10"/>
  <c r="E9" i="10"/>
  <c r="K9" i="10" s="1"/>
  <c r="E10" i="10"/>
  <c r="E11" i="10"/>
  <c r="E12" i="10"/>
  <c r="E13" i="10"/>
  <c r="E14" i="10"/>
  <c r="E6" i="10"/>
  <c r="H15" i="24"/>
  <c r="H28" i="24"/>
  <c r="H29" i="24" s="1"/>
  <c r="H26" i="24"/>
  <c r="H25" i="24"/>
  <c r="H20" i="24"/>
  <c r="H19" i="24"/>
  <c r="H22" i="24" s="1"/>
  <c r="H24" i="24" s="1"/>
  <c r="K10" i="6"/>
  <c r="E15" i="24"/>
  <c r="K15" i="24"/>
  <c r="P17" i="27"/>
  <c r="E77" i="27"/>
  <c r="E78" i="27"/>
  <c r="F77" i="27"/>
  <c r="F78" i="27" s="1"/>
  <c r="G77" i="27"/>
  <c r="G78" i="27" s="1"/>
  <c r="D77" i="27"/>
  <c r="D78" i="27"/>
  <c r="P16" i="27"/>
  <c r="C74" i="27"/>
  <c r="H72" i="27"/>
  <c r="H71" i="27"/>
  <c r="H70" i="27"/>
  <c r="H69" i="27"/>
  <c r="H68" i="27"/>
  <c r="H67" i="27"/>
  <c r="H66" i="27"/>
  <c r="H65" i="27"/>
  <c r="H64" i="27"/>
  <c r="H63" i="27"/>
  <c r="H62" i="27"/>
  <c r="H61" i="27"/>
  <c r="H60" i="27"/>
  <c r="H59" i="27"/>
  <c r="H58" i="27"/>
  <c r="H57" i="27"/>
  <c r="H56" i="27"/>
  <c r="H55" i="27"/>
  <c r="H54" i="27"/>
  <c r="H53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25" i="27"/>
  <c r="C44" i="27"/>
  <c r="C43" i="27"/>
  <c r="F76" i="10"/>
  <c r="J76" i="10" s="1"/>
  <c r="K76" i="10" s="1"/>
  <c r="F64" i="10"/>
  <c r="J64" i="10" s="1"/>
  <c r="K64" i="10" s="1"/>
  <c r="F63" i="10"/>
  <c r="J50" i="10"/>
  <c r="K50" i="10" s="1"/>
  <c r="J38" i="10"/>
  <c r="J26" i="10"/>
  <c r="K26" i="10" s="1"/>
  <c r="J14" i="10"/>
  <c r="K14" i="10" s="1"/>
  <c r="G22" i="10"/>
  <c r="AV15" i="10"/>
  <c r="AS8" i="10"/>
  <c r="AT8" i="10"/>
  <c r="AU8" i="10"/>
  <c r="AV8" i="10"/>
  <c r="AS9" i="10"/>
  <c r="AT9" i="10"/>
  <c r="AU9" i="10"/>
  <c r="AV9" i="10"/>
  <c r="AS10" i="10"/>
  <c r="AT10" i="10"/>
  <c r="AU10" i="10"/>
  <c r="AV10" i="10"/>
  <c r="AS11" i="10"/>
  <c r="AT11" i="10"/>
  <c r="AU11" i="10"/>
  <c r="AV11" i="10"/>
  <c r="AS12" i="10"/>
  <c r="AT12" i="10"/>
  <c r="AU12" i="10"/>
  <c r="AV12" i="10"/>
  <c r="AS13" i="10"/>
  <c r="AT13" i="10"/>
  <c r="AU13" i="10"/>
  <c r="AV13" i="10"/>
  <c r="AS14" i="10"/>
  <c r="AT14" i="10"/>
  <c r="AU14" i="10"/>
  <c r="AV14" i="10"/>
  <c r="AS15" i="10"/>
  <c r="AT15" i="10"/>
  <c r="AU15" i="10"/>
  <c r="AT7" i="10"/>
  <c r="AU7" i="10"/>
  <c r="AV7" i="10"/>
  <c r="AS7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J38" i="28"/>
  <c r="M38" i="28" s="1"/>
  <c r="O38" i="28" s="1"/>
  <c r="P38" i="28" s="1"/>
  <c r="G38" i="28"/>
  <c r="D38" i="28"/>
  <c r="F38" i="28" s="1"/>
  <c r="K38" i="10"/>
  <c r="G50" i="10"/>
  <c r="G38" i="10"/>
  <c r="G26" i="10"/>
  <c r="G14" i="10"/>
  <c r="AO7" i="10"/>
  <c r="AP7" i="10"/>
  <c r="AQ7" i="10"/>
  <c r="AO8" i="10"/>
  <c r="AP8" i="10"/>
  <c r="AQ8" i="10"/>
  <c r="AO9" i="10"/>
  <c r="AP9" i="10"/>
  <c r="AQ9" i="10"/>
  <c r="AO10" i="10"/>
  <c r="AP10" i="10"/>
  <c r="AQ10" i="10"/>
  <c r="AO11" i="10"/>
  <c r="AP11" i="10"/>
  <c r="AQ11" i="10"/>
  <c r="AO12" i="10"/>
  <c r="AP12" i="10"/>
  <c r="AQ12" i="10"/>
  <c r="AO13" i="10"/>
  <c r="AP13" i="10"/>
  <c r="AQ13" i="10"/>
  <c r="AO14" i="10"/>
  <c r="AP14" i="10"/>
  <c r="AQ14" i="10"/>
  <c r="AO15" i="10"/>
  <c r="AP15" i="10"/>
  <c r="AQ15" i="10"/>
  <c r="AN8" i="10"/>
  <c r="AN9" i="10"/>
  <c r="AN10" i="10"/>
  <c r="AN11" i="10"/>
  <c r="AN12" i="10"/>
  <c r="AN13" i="10"/>
  <c r="AN14" i="10"/>
  <c r="AN15" i="10"/>
  <c r="AN7" i="10"/>
  <c r="D50" i="10"/>
  <c r="D26" i="10"/>
  <c r="D38" i="10"/>
  <c r="D64" i="10" s="1"/>
  <c r="C50" i="10"/>
  <c r="C26" i="10"/>
  <c r="H26" i="10" s="1"/>
  <c r="I26" i="10" s="1"/>
  <c r="C38" i="10"/>
  <c r="C14" i="10"/>
  <c r="H14" i="10" s="1"/>
  <c r="I14" i="10" s="1"/>
  <c r="D14" i="10"/>
  <c r="G64" i="10"/>
  <c r="D76" i="10"/>
  <c r="K9" i="6"/>
  <c r="O10" i="5"/>
  <c r="N10" i="5"/>
  <c r="G39" i="26"/>
  <c r="D9" i="27"/>
  <c r="D8" i="27"/>
  <c r="J15" i="7"/>
  <c r="H15" i="7"/>
  <c r="J14" i="7"/>
  <c r="H13" i="7"/>
  <c r="H11" i="7"/>
  <c r="H10" i="7"/>
  <c r="H8" i="7"/>
  <c r="G8" i="7"/>
  <c r="R36" i="26"/>
  <c r="R37" i="26"/>
  <c r="H9" i="6"/>
  <c r="I9" i="6" s="1"/>
  <c r="N2" i="5"/>
  <c r="O2" i="5"/>
  <c r="N3" i="5"/>
  <c r="O3" i="5"/>
  <c r="N4" i="5"/>
  <c r="O4" i="5"/>
  <c r="N5" i="5"/>
  <c r="O5" i="5"/>
  <c r="N6" i="5"/>
  <c r="O6" i="5"/>
  <c r="N7" i="5"/>
  <c r="O7" i="5"/>
  <c r="N8" i="5"/>
  <c r="O8" i="5"/>
  <c r="N9" i="5"/>
  <c r="O9" i="5"/>
  <c r="F75" i="10"/>
  <c r="J75" i="10" s="1"/>
  <c r="J63" i="10"/>
  <c r="J48" i="10"/>
  <c r="J49" i="10"/>
  <c r="G43" i="10"/>
  <c r="G44" i="10"/>
  <c r="G45" i="10"/>
  <c r="G46" i="10"/>
  <c r="G47" i="10"/>
  <c r="G48" i="10"/>
  <c r="G49" i="10"/>
  <c r="H49" i="10" s="1"/>
  <c r="C43" i="10"/>
  <c r="H43" i="10" s="1"/>
  <c r="D43" i="10"/>
  <c r="C44" i="10"/>
  <c r="C58" i="10" s="1"/>
  <c r="D44" i="10"/>
  <c r="C45" i="10"/>
  <c r="D45" i="10"/>
  <c r="C46" i="10"/>
  <c r="C47" i="10"/>
  <c r="D47" i="10"/>
  <c r="C48" i="10"/>
  <c r="C62" i="10" s="1"/>
  <c r="H62" i="10" s="1"/>
  <c r="I62" i="10" s="1"/>
  <c r="D48" i="10"/>
  <c r="C49" i="10"/>
  <c r="C75" i="10" s="1"/>
  <c r="D49" i="10"/>
  <c r="G42" i="10"/>
  <c r="D42" i="10"/>
  <c r="C42" i="10"/>
  <c r="J37" i="10"/>
  <c r="G31" i="10"/>
  <c r="G69" i="10" s="1"/>
  <c r="G32" i="10"/>
  <c r="G33" i="10"/>
  <c r="G34" i="10"/>
  <c r="G35" i="10"/>
  <c r="G36" i="10"/>
  <c r="H36" i="10" s="1"/>
  <c r="G37" i="10"/>
  <c r="G63" i="10" s="1"/>
  <c r="C31" i="10"/>
  <c r="H31" i="10" s="1"/>
  <c r="I31" i="10" s="1"/>
  <c r="D31" i="10"/>
  <c r="C32" i="10"/>
  <c r="D32" i="10"/>
  <c r="C33" i="10"/>
  <c r="D33" i="10"/>
  <c r="D59" i="10" s="1"/>
  <c r="C34" i="10"/>
  <c r="C60" i="10" s="1"/>
  <c r="D34" i="10"/>
  <c r="C35" i="10"/>
  <c r="H35" i="10" s="1"/>
  <c r="I35" i="10" s="1"/>
  <c r="D35" i="10"/>
  <c r="C36" i="10"/>
  <c r="D36" i="10"/>
  <c r="C37" i="10"/>
  <c r="D37" i="10"/>
  <c r="D63" i="10" s="1"/>
  <c r="G30" i="10"/>
  <c r="D30" i="10"/>
  <c r="H30" i="10" s="1"/>
  <c r="I30" i="10" s="1"/>
  <c r="C30" i="10"/>
  <c r="G19" i="10"/>
  <c r="G20" i="10"/>
  <c r="G21" i="10"/>
  <c r="G23" i="10"/>
  <c r="G24" i="10"/>
  <c r="G25" i="10"/>
  <c r="C19" i="10"/>
  <c r="D19" i="10"/>
  <c r="C20" i="10"/>
  <c r="D20" i="10"/>
  <c r="C21" i="10"/>
  <c r="D21" i="10"/>
  <c r="H21" i="10" s="1"/>
  <c r="C22" i="10"/>
  <c r="C72" i="10" s="1"/>
  <c r="D22" i="10"/>
  <c r="C23" i="10"/>
  <c r="H23" i="10" s="1"/>
  <c r="I23" i="10" s="1"/>
  <c r="D23" i="10"/>
  <c r="C24" i="10"/>
  <c r="H24" i="10" s="1"/>
  <c r="D24" i="10"/>
  <c r="C25" i="10"/>
  <c r="D25" i="10"/>
  <c r="H25" i="10" s="1"/>
  <c r="G18" i="10"/>
  <c r="G68" i="10" s="1"/>
  <c r="D18" i="10"/>
  <c r="C18" i="10"/>
  <c r="J25" i="10"/>
  <c r="K25" i="10" s="1"/>
  <c r="J13" i="10"/>
  <c r="G7" i="10"/>
  <c r="G8" i="10"/>
  <c r="G9" i="10"/>
  <c r="G71" i="10" s="1"/>
  <c r="G10" i="10"/>
  <c r="G11" i="10"/>
  <c r="G12" i="10"/>
  <c r="G13" i="10"/>
  <c r="C7" i="10"/>
  <c r="D7" i="10"/>
  <c r="C8" i="10"/>
  <c r="D8" i="10"/>
  <c r="D70" i="10" s="1"/>
  <c r="C9" i="10"/>
  <c r="D9" i="10"/>
  <c r="H9" i="10" s="1"/>
  <c r="C10" i="10"/>
  <c r="D10" i="10"/>
  <c r="C11" i="10"/>
  <c r="D11" i="10"/>
  <c r="C12" i="10"/>
  <c r="D12" i="10"/>
  <c r="C13" i="10"/>
  <c r="D13" i="10"/>
  <c r="G6" i="10"/>
  <c r="D6" i="10"/>
  <c r="H6" i="10" s="1"/>
  <c r="I6" i="10" s="1"/>
  <c r="C6" i="10"/>
  <c r="Q38" i="28"/>
  <c r="N38" i="28"/>
  <c r="M37" i="28"/>
  <c r="O37" i="28" s="1"/>
  <c r="N37" i="28"/>
  <c r="L37" i="28"/>
  <c r="Q37" i="28" s="1"/>
  <c r="I37" i="28"/>
  <c r="F37" i="28"/>
  <c r="F56" i="10"/>
  <c r="J56" i="10" s="1"/>
  <c r="K56" i="10" s="1"/>
  <c r="I25" i="10"/>
  <c r="H48" i="10"/>
  <c r="I48" i="10" s="1"/>
  <c r="K49" i="10"/>
  <c r="K13" i="10"/>
  <c r="K75" i="10"/>
  <c r="H21" i="33"/>
  <c r="H20" i="33"/>
  <c r="K11" i="33"/>
  <c r="K8" i="27"/>
  <c r="J8" i="27"/>
  <c r="I8" i="27"/>
  <c r="H8" i="27"/>
  <c r="G8" i="27"/>
  <c r="F8" i="27"/>
  <c r="E8" i="27"/>
  <c r="G9" i="27"/>
  <c r="K9" i="27"/>
  <c r="H9" i="27"/>
  <c r="E9" i="27"/>
  <c r="I9" i="27"/>
  <c r="F9" i="27"/>
  <c r="J9" i="27"/>
  <c r="K7" i="24"/>
  <c r="K12" i="24"/>
  <c r="K6" i="24"/>
  <c r="F74" i="10"/>
  <c r="J74" i="10" s="1"/>
  <c r="K74" i="10" s="1"/>
  <c r="F62" i="10"/>
  <c r="J62" i="10" s="1"/>
  <c r="K62" i="10" s="1"/>
  <c r="J36" i="10"/>
  <c r="J24" i="10"/>
  <c r="K24" i="10" s="1"/>
  <c r="J12" i="10"/>
  <c r="N36" i="28"/>
  <c r="M36" i="28"/>
  <c r="L36" i="28"/>
  <c r="Q36" i="28" s="1"/>
  <c r="I36" i="28"/>
  <c r="F36" i="28"/>
  <c r="P36" i="28" s="1"/>
  <c r="G62" i="10"/>
  <c r="K12" i="10"/>
  <c r="G74" i="10"/>
  <c r="D62" i="10"/>
  <c r="I24" i="10"/>
  <c r="D74" i="10"/>
  <c r="O36" i="28"/>
  <c r="H8" i="6"/>
  <c r="I8" i="6" s="1"/>
  <c r="K8" i="6"/>
  <c r="H6" i="33"/>
  <c r="E6" i="33"/>
  <c r="E5" i="33"/>
  <c r="H5" i="33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D41" i="28"/>
  <c r="C37" i="21"/>
  <c r="B37" i="21" s="1"/>
  <c r="C38" i="21"/>
  <c r="B38" i="21" s="1"/>
  <c r="C39" i="21"/>
  <c r="C36" i="21"/>
  <c r="B36" i="21" s="1"/>
  <c r="B35" i="21"/>
  <c r="F73" i="10"/>
  <c r="J73" i="10" s="1"/>
  <c r="K73" i="10"/>
  <c r="F61" i="10"/>
  <c r="J61" i="10" s="1"/>
  <c r="K61" i="10" s="1"/>
  <c r="J47" i="10"/>
  <c r="K47" i="10" s="1"/>
  <c r="J35" i="10"/>
  <c r="K35" i="10" s="1"/>
  <c r="J23" i="10"/>
  <c r="J11" i="10"/>
  <c r="K11" i="10" s="1"/>
  <c r="D73" i="10"/>
  <c r="G61" i="10"/>
  <c r="D61" i="10"/>
  <c r="H47" i="10"/>
  <c r="I47" i="10"/>
  <c r="C73" i="10"/>
  <c r="H7" i="6"/>
  <c r="I7" i="6" s="1"/>
  <c r="K7" i="6"/>
  <c r="H6" i="6"/>
  <c r="I6" i="6"/>
  <c r="C34" i="21"/>
  <c r="C33" i="21"/>
  <c r="B33" i="21" s="1"/>
  <c r="C32" i="21"/>
  <c r="B32" i="21" s="1"/>
  <c r="C31" i="21"/>
  <c r="B31" i="21" s="1"/>
  <c r="C30" i="21"/>
  <c r="B30" i="21" s="1"/>
  <c r="C29" i="21"/>
  <c r="B29" i="21" s="1"/>
  <c r="C28" i="21"/>
  <c r="B28" i="21" s="1"/>
  <c r="C27" i="21"/>
  <c r="B27" i="21" s="1"/>
  <c r="C26" i="21"/>
  <c r="B26" i="21" s="1"/>
  <c r="C25" i="21"/>
  <c r="B25" i="21" s="1"/>
  <c r="C24" i="21"/>
  <c r="B24" i="21" s="1"/>
  <c r="C23" i="21"/>
  <c r="B23" i="21" s="1"/>
  <c r="C22" i="21"/>
  <c r="B22" i="21" s="1"/>
  <c r="C21" i="21"/>
  <c r="B21" i="21" s="1"/>
  <c r="C20" i="21"/>
  <c r="B20" i="21" s="1"/>
  <c r="C19" i="21"/>
  <c r="B19" i="21" s="1"/>
  <c r="C18" i="21"/>
  <c r="C17" i="21"/>
  <c r="B17" i="21" s="1"/>
  <c r="C16" i="21"/>
  <c r="B16" i="21" s="1"/>
  <c r="C15" i="21"/>
  <c r="C14" i="21"/>
  <c r="C13" i="21"/>
  <c r="C12" i="21"/>
  <c r="B12" i="21" s="1"/>
  <c r="C11" i="21"/>
  <c r="C10" i="21"/>
  <c r="O6" i="21"/>
  <c r="N6" i="21"/>
  <c r="M6" i="21"/>
  <c r="L6" i="21"/>
  <c r="K6" i="21"/>
  <c r="J6" i="21"/>
  <c r="I6" i="21"/>
  <c r="H6" i="21"/>
  <c r="G6" i="21"/>
  <c r="F6" i="21"/>
  <c r="B13" i="21"/>
  <c r="B15" i="21"/>
  <c r="B14" i="21"/>
  <c r="B10" i="21"/>
  <c r="G72" i="10"/>
  <c r="D72" i="10"/>
  <c r="G60" i="10"/>
  <c r="H34" i="10"/>
  <c r="I34" i="10" s="1"/>
  <c r="H22" i="10"/>
  <c r="I22" i="10" s="1"/>
  <c r="H10" i="10"/>
  <c r="I10" i="10" s="1"/>
  <c r="K15" i="18"/>
  <c r="K15" i="17"/>
  <c r="K15" i="16"/>
  <c r="K15" i="15"/>
  <c r="K15" i="14"/>
  <c r="K12" i="18"/>
  <c r="K7" i="18"/>
  <c r="K6" i="18"/>
  <c r="K12" i="17"/>
  <c r="K7" i="17"/>
  <c r="K6" i="17"/>
  <c r="K12" i="16"/>
  <c r="K7" i="16"/>
  <c r="K6" i="16"/>
  <c r="K12" i="15"/>
  <c r="K12" i="14"/>
  <c r="K7" i="14"/>
  <c r="K6" i="14"/>
  <c r="F72" i="10"/>
  <c r="J72" i="10" s="1"/>
  <c r="K72" i="10" s="1"/>
  <c r="F60" i="10"/>
  <c r="J60" i="10"/>
  <c r="K60" i="10" s="1"/>
  <c r="J22" i="10"/>
  <c r="J34" i="10"/>
  <c r="K34" i="10" s="1"/>
  <c r="J46" i="10"/>
  <c r="K46" i="10" s="1"/>
  <c r="J10" i="10"/>
  <c r="K10" i="10" s="1"/>
  <c r="J45" i="10"/>
  <c r="K45" i="10"/>
  <c r="J44" i="10"/>
  <c r="K44" i="10" s="1"/>
  <c r="J43" i="10"/>
  <c r="K43" i="10" s="1"/>
  <c r="J42" i="10"/>
  <c r="K42" i="10" s="1"/>
  <c r="J33" i="10"/>
  <c r="K33" i="10"/>
  <c r="J32" i="10"/>
  <c r="K32" i="10" s="1"/>
  <c r="J31" i="10"/>
  <c r="K31" i="10" s="1"/>
  <c r="J30" i="10"/>
  <c r="K30" i="10" s="1"/>
  <c r="J21" i="10"/>
  <c r="K21" i="10"/>
  <c r="J20" i="10"/>
  <c r="K20" i="10" s="1"/>
  <c r="J19" i="10"/>
  <c r="K19" i="10" s="1"/>
  <c r="J18" i="10"/>
  <c r="K18" i="10" s="1"/>
  <c r="F71" i="10"/>
  <c r="J71" i="10"/>
  <c r="K71" i="10" s="1"/>
  <c r="F70" i="10"/>
  <c r="J70" i="10" s="1"/>
  <c r="K70" i="10" s="1"/>
  <c r="F69" i="10"/>
  <c r="J69" i="10" s="1"/>
  <c r="F59" i="10"/>
  <c r="J59" i="10" s="1"/>
  <c r="K59" i="10" s="1"/>
  <c r="F58" i="10"/>
  <c r="J58" i="10"/>
  <c r="K58" i="10" s="1"/>
  <c r="F57" i="10"/>
  <c r="J57" i="10" s="1"/>
  <c r="K57" i="10" s="1"/>
  <c r="J7" i="10"/>
  <c r="K7" i="10" s="1"/>
  <c r="J8" i="10"/>
  <c r="K8" i="10" s="1"/>
  <c r="J9" i="10"/>
  <c r="J6" i="10"/>
  <c r="K6" i="10"/>
  <c r="F68" i="10"/>
  <c r="J68" i="10" s="1"/>
  <c r="K68" i="10" s="1"/>
  <c r="D71" i="10"/>
  <c r="H71" i="10" s="1"/>
  <c r="I71" i="10" s="1"/>
  <c r="H7" i="10"/>
  <c r="I7" i="10"/>
  <c r="H20" i="10"/>
  <c r="I20" i="10"/>
  <c r="I21" i="10"/>
  <c r="D58" i="10"/>
  <c r="D69" i="10"/>
  <c r="G56" i="10"/>
  <c r="H33" i="10"/>
  <c r="I33" i="10" s="1"/>
  <c r="D57" i="10"/>
  <c r="G58" i="10"/>
  <c r="I43" i="10"/>
  <c r="C59" i="10"/>
  <c r="H45" i="10"/>
  <c r="I45" i="10"/>
  <c r="C71" i="10"/>
  <c r="G59" i="10"/>
  <c r="H32" i="10"/>
  <c r="I32" i="10" s="1"/>
  <c r="H59" i="10"/>
  <c r="I59" i="10" s="1"/>
  <c r="K6" i="6"/>
  <c r="E6" i="15"/>
  <c r="K6" i="15" s="1"/>
  <c r="G3" i="4"/>
  <c r="G2" i="4"/>
  <c r="H4" i="6"/>
  <c r="I4" i="6" s="1"/>
  <c r="K4" i="6"/>
  <c r="K5" i="6"/>
  <c r="H2" i="6"/>
  <c r="I2" i="6"/>
  <c r="K2" i="6"/>
  <c r="K3" i="6"/>
  <c r="H3" i="6"/>
  <c r="I3" i="6" s="1"/>
  <c r="G11" i="4"/>
  <c r="G9" i="4"/>
  <c r="G7" i="4"/>
  <c r="G4" i="4"/>
  <c r="F11" i="4"/>
  <c r="F10" i="4"/>
  <c r="G10" i="4"/>
  <c r="G8" i="4"/>
  <c r="G6" i="4"/>
  <c r="F6" i="4"/>
  <c r="G5" i="4"/>
  <c r="F5" i="4"/>
  <c r="F9" i="4"/>
  <c r="F4" i="4"/>
  <c r="F7" i="4"/>
  <c r="F8" i="4"/>
  <c r="J3" i="3" l="1"/>
  <c r="L3" i="3" s="1"/>
  <c r="M12" i="5"/>
  <c r="F12" i="6" s="1"/>
  <c r="J12" i="6" s="1"/>
  <c r="J9" i="70"/>
  <c r="J2" i="70"/>
  <c r="E7" i="15"/>
  <c r="K7" i="15" s="1"/>
  <c r="J3" i="70"/>
  <c r="K5" i="33"/>
  <c r="J10" i="70"/>
  <c r="J5" i="70"/>
  <c r="J6" i="70"/>
  <c r="K6" i="33"/>
  <c r="J4" i="70"/>
  <c r="J12" i="70"/>
  <c r="B34" i="21"/>
  <c r="B39" i="21"/>
  <c r="J17" i="7"/>
  <c r="G17" i="7"/>
  <c r="H58" i="10"/>
  <c r="I58" i="10" s="1"/>
  <c r="H16" i="7"/>
  <c r="H18" i="10"/>
  <c r="I18" i="10" s="1"/>
  <c r="C68" i="10"/>
  <c r="H68" i="10" s="1"/>
  <c r="I68" i="10" s="1"/>
  <c r="H19" i="10"/>
  <c r="I19" i="10" s="1"/>
  <c r="C69" i="10"/>
  <c r="H69" i="10" s="1"/>
  <c r="I69" i="10" s="1"/>
  <c r="D56" i="10"/>
  <c r="H11" i="10"/>
  <c r="I11" i="10" s="1"/>
  <c r="G73" i="10"/>
  <c r="J13" i="7"/>
  <c r="P37" i="28"/>
  <c r="C6" i="21"/>
  <c r="B11" i="21"/>
  <c r="B6" i="21" s="1"/>
  <c r="I9" i="10"/>
  <c r="H42" i="10"/>
  <c r="I42" i="10" s="1"/>
  <c r="C56" i="10"/>
  <c r="J10" i="7"/>
  <c r="C57" i="10"/>
  <c r="G75" i="10"/>
  <c r="H72" i="10"/>
  <c r="I72" i="10" s="1"/>
  <c r="I36" i="10"/>
  <c r="D60" i="10"/>
  <c r="H60" i="10" s="1"/>
  <c r="I60" i="10" s="1"/>
  <c r="H46" i="10"/>
  <c r="I46" i="10" s="1"/>
  <c r="I49" i="10"/>
  <c r="G15" i="7"/>
  <c r="H44" i="10"/>
  <c r="I44" i="10" s="1"/>
  <c r="H13" i="10"/>
  <c r="I13" i="10" s="1"/>
  <c r="D75" i="10"/>
  <c r="H38" i="10"/>
  <c r="I38" i="10" s="1"/>
  <c r="C64" i="10"/>
  <c r="H64" i="10" s="1"/>
  <c r="I64" i="10" s="1"/>
  <c r="H37" i="10"/>
  <c r="I37" i="10" s="1"/>
  <c r="C76" i="10"/>
  <c r="J11" i="7"/>
  <c r="H14" i="7"/>
  <c r="E14" i="33" s="1"/>
  <c r="K14" i="33" s="1"/>
  <c r="H73" i="10"/>
  <c r="I73" i="10" s="1"/>
  <c r="H75" i="10"/>
  <c r="I75" i="10" s="1"/>
  <c r="D68" i="10"/>
  <c r="C70" i="10"/>
  <c r="G57" i="10"/>
  <c r="K69" i="10"/>
  <c r="C61" i="10"/>
  <c r="H61" i="10" s="1"/>
  <c r="I61" i="10" s="1"/>
  <c r="C74" i="10"/>
  <c r="H74" i="10" s="1"/>
  <c r="I74" i="10" s="1"/>
  <c r="H12" i="10"/>
  <c r="I12" i="10" s="1"/>
  <c r="H8" i="10"/>
  <c r="I8" i="10" s="1"/>
  <c r="G70" i="10"/>
  <c r="G13" i="7"/>
  <c r="H50" i="10"/>
  <c r="I50" i="10" s="1"/>
  <c r="J8" i="7"/>
  <c r="J16" i="7"/>
  <c r="G16" i="7"/>
  <c r="F92" i="10"/>
  <c r="G76" i="10"/>
  <c r="J9" i="7"/>
  <c r="G9" i="7"/>
  <c r="D6" i="21"/>
  <c r="C63" i="10"/>
  <c r="H63" i="10" s="1"/>
  <c r="I63" i="10" s="1"/>
  <c r="H70" i="10" l="1"/>
  <c r="I70" i="10" s="1"/>
  <c r="H56" i="10"/>
  <c r="I56" i="10" s="1"/>
  <c r="H76" i="10"/>
  <c r="I76" i="10" s="1"/>
  <c r="B43" i="21"/>
  <c r="H57" i="10"/>
  <c r="I57" i="10" s="1"/>
</calcChain>
</file>

<file path=xl/comments1.xml><?xml version="1.0" encoding="utf-8"?>
<comments xmlns="http://schemas.openxmlformats.org/spreadsheetml/2006/main">
  <authors>
    <author>Jon Hess Admin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Jon Hess Admin:</t>
        </r>
        <r>
          <rPr>
            <sz val="9"/>
            <color indexed="81"/>
            <rFont val="Tahoma"/>
            <family val="2"/>
          </rPr>
          <t xml:space="preserve">
Matches BA Tab T3_UPCwild from file "2017 sp_su_ch_ba_tables_24Jan2018"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Jon Hess Admin:</t>
        </r>
        <r>
          <rPr>
            <sz val="9"/>
            <color indexed="81"/>
            <rFont val="Tahoma"/>
            <family val="2"/>
          </rPr>
          <t xml:space="preserve">
Matches BA Tab "T3b_UPCwild Impacts" from file "2017 sp_su_ch_ba_tables_24Jan2018"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Jon Hess Admin:</t>
        </r>
        <r>
          <rPr>
            <sz val="9"/>
            <color indexed="81"/>
            <rFont val="Tahoma"/>
            <family val="2"/>
          </rPr>
          <t xml:space="preserve">
Matches BA Tab "T3b_UPCwild Impacts" from file "2017 sp_su_ch_ba_tables_24Jan2018"</t>
        </r>
      </text>
    </comment>
  </commentList>
</comments>
</file>

<file path=xl/comments10.xml><?xml version="1.0" encoding="utf-8"?>
<comments xmlns="http://schemas.openxmlformats.org/spreadsheetml/2006/main">
  <authors>
    <author>zz</author>
  </authors>
  <commentList>
    <comment ref="L5" authorId="0" shapeId="0">
      <text>
        <r>
          <rPr>
            <b/>
            <sz val="9"/>
            <color indexed="81"/>
            <rFont val="Tahoma"/>
            <family val="2"/>
          </rPr>
          <t>zz:</t>
        </r>
        <r>
          <rPr>
            <sz val="9"/>
            <color indexed="81"/>
            <rFont val="Tahoma"/>
            <family val="2"/>
          </rPr>
          <t xml:space="preserve">
includes Elk Creek
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zz:</t>
        </r>
        <r>
          <rPr>
            <sz val="9"/>
            <color indexed="81"/>
            <rFont val="Tahoma"/>
            <family val="2"/>
          </rPr>
          <t xml:space="preserve">
includes Knapp Creek</t>
        </r>
      </text>
    </comment>
  </commentList>
</comments>
</file>

<file path=xl/comments11.xml><?xml version="1.0" encoding="utf-8"?>
<comments xmlns="http://schemas.openxmlformats.org/spreadsheetml/2006/main">
  <authors>
    <author>WDFW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WDFW:</t>
        </r>
        <r>
          <rPr>
            <sz val="9"/>
            <color indexed="81"/>
            <rFont val="Tahoma"/>
            <family val="2"/>
          </rPr>
          <t xml:space="preserve">
Spring Chinook data from the TAC BA Tables or the annual Joint Staff Report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WDFW:</t>
        </r>
        <r>
          <rPr>
            <sz val="9"/>
            <color indexed="81"/>
            <rFont val="Tahoma"/>
            <family val="2"/>
          </rPr>
          <t xml:space="preserve">
Post season model or Annual Fall Joint Staff Report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WDFW:</t>
        </r>
        <r>
          <rPr>
            <sz val="9"/>
            <color indexed="81"/>
            <rFont val="Tahoma"/>
            <family val="2"/>
          </rPr>
          <t xml:space="preserve">
Post Season CHF Model or annual Fall Joint Staff Report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WDFW:</t>
        </r>
        <r>
          <rPr>
            <sz val="9"/>
            <color indexed="81"/>
            <rFont val="Tahoma"/>
            <family val="2"/>
          </rPr>
          <t xml:space="preserve">
TAC BA Table or annual Spring JSR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WDFW:</t>
        </r>
        <r>
          <rPr>
            <sz val="9"/>
            <color indexed="81"/>
            <rFont val="Tahoma"/>
            <family val="2"/>
          </rPr>
          <t xml:space="preserve">
BON pool mortalities
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WDFW:</t>
        </r>
        <r>
          <rPr>
            <sz val="9"/>
            <color indexed="81"/>
            <rFont val="Tahoma"/>
            <family val="2"/>
          </rPr>
          <t xml:space="preserve">
See T 12 of this report, or the annual spring Joint Staff Report (JSR)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WDFW:</t>
        </r>
        <r>
          <rPr>
            <sz val="9"/>
            <color indexed="81"/>
            <rFont val="Tahoma"/>
            <family val="2"/>
          </rPr>
          <t xml:space="preserve">
Same as LCR winter/winter</t>
        </r>
      </text>
    </comment>
  </commentList>
</comments>
</file>

<file path=xl/comments12.xml><?xml version="1.0" encoding="utf-8"?>
<comments xmlns="http://schemas.openxmlformats.org/spreadsheetml/2006/main">
  <authors>
    <author>Jon Hess Admin</author>
  </authors>
  <commentList>
    <comment ref="S37" authorId="0" shapeId="0">
      <text>
        <r>
          <rPr>
            <b/>
            <sz val="9"/>
            <color indexed="81"/>
            <rFont val="Tahoma"/>
            <family val="2"/>
          </rPr>
          <t>Jon Hess Admin:</t>
        </r>
        <r>
          <rPr>
            <sz val="9"/>
            <color indexed="81"/>
            <rFont val="Tahoma"/>
            <family val="2"/>
          </rPr>
          <t xml:space="preserve">
These new updates were available in Alans forecast file for 2018</t>
        </r>
      </text>
    </comment>
  </commentList>
</comments>
</file>

<file path=xl/comments13.xml><?xml version="1.0" encoding="utf-8"?>
<comments xmlns="http://schemas.openxmlformats.org/spreadsheetml/2006/main">
  <authors>
    <author>ab</author>
    <author>Jon Hess Admin</author>
  </authors>
  <commentList>
    <comment ref="AR7" authorId="0" shapeId="0">
      <text>
        <r>
          <rPr>
            <b/>
            <sz val="9"/>
            <color indexed="81"/>
            <rFont val="Tahoma"/>
            <family val="2"/>
          </rPr>
          <t>ab:</t>
        </r>
        <r>
          <rPr>
            <sz val="9"/>
            <color indexed="81"/>
            <rFont val="Tahoma"/>
            <family val="2"/>
          </rPr>
          <t xml:space="preserve">
A/B Index + Skamania</t>
        </r>
      </text>
    </comment>
    <comment ref="E46" authorId="1" shapeId="0">
      <text>
        <r>
          <rPr>
            <b/>
            <sz val="9"/>
            <color indexed="81"/>
            <rFont val="Tahoma"/>
            <family val="2"/>
          </rPr>
          <t>Jon Hess Admin:</t>
        </r>
        <r>
          <rPr>
            <sz val="9"/>
            <color indexed="81"/>
            <rFont val="Tahoma"/>
            <family val="2"/>
          </rPr>
          <t xml:space="preserve">
Stratum option #1 is the numbers you would get if you used the same TAC strata applied in the past, but data includes PBT and Dorsal condition.
Option #2 is using a 100/30 strata guideline rule (see BA for methodology details).</t>
        </r>
      </text>
    </comment>
  </commentList>
</comments>
</file>

<file path=xl/comments2.xml><?xml version="1.0" encoding="utf-8"?>
<comments xmlns="http://schemas.openxmlformats.org/spreadsheetml/2006/main">
  <authors>
    <author>Byrne,Alan</author>
    <author>Jon Hess Admin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>Byrne,Alan:Mouth to Lower granite Dam</t>
        </r>
      </text>
    </comment>
    <comment ref="F2" authorId="0" shapeId="0">
      <text>
        <r>
          <rPr>
            <sz val="9"/>
            <color indexed="81"/>
            <rFont val="Tahoma"/>
            <family val="2"/>
          </rPr>
          <t>Preliminary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</rPr>
          <t>Byrne,Alan:</t>
        </r>
        <r>
          <rPr>
            <sz val="9"/>
            <color indexed="81"/>
            <rFont val="Tahoma"/>
            <family val="2"/>
          </rPr>
          <t xml:space="preserve">
from BA Table B1
</t>
        </r>
      </text>
    </comment>
    <comment ref="G3" authorId="1" shapeId="0">
      <text>
        <r>
          <rPr>
            <b/>
            <sz val="9"/>
            <color indexed="81"/>
            <rFont val="Tahoma"/>
            <family val="2"/>
          </rPr>
          <t>Jon Hess Admin:</t>
        </r>
        <r>
          <rPr>
            <sz val="9"/>
            <color indexed="81"/>
            <rFont val="Tahoma"/>
            <family val="2"/>
          </rPr>
          <t xml:space="preserve">
From BA Table T1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Byrne,Alan:</t>
        </r>
        <r>
          <rPr>
            <sz val="9"/>
            <color indexed="81"/>
            <rFont val="Tahoma"/>
            <family val="2"/>
          </rPr>
          <t xml:space="preserve">
from BA Table B1
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Byrne,Alan:</t>
        </r>
        <r>
          <rPr>
            <sz val="9"/>
            <color indexed="81"/>
            <rFont val="Tahoma"/>
            <family val="2"/>
          </rPr>
          <t xml:space="preserve">
from BA Table B1
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Byrne,Alan:</t>
        </r>
        <r>
          <rPr>
            <sz val="9"/>
            <color indexed="81"/>
            <rFont val="Tahoma"/>
            <family val="2"/>
          </rPr>
          <t xml:space="preserve">
from BA --Table B2</t>
        </r>
      </text>
    </comment>
  </commentList>
</comments>
</file>

<file path=xl/comments3.xml><?xml version="1.0" encoding="utf-8"?>
<comments xmlns="http://schemas.openxmlformats.org/spreadsheetml/2006/main">
  <authors>
    <author>WDFW</author>
    <author>Stuart Ellis</author>
    <author>Windows User</author>
    <author>Sippel, Timothy J (DFW)</author>
  </authors>
  <commentList>
    <comment ref="Q7" authorId="0" shapeId="0">
      <text>
        <r>
          <rPr>
            <b/>
            <sz val="9"/>
            <color indexed="81"/>
            <rFont val="Tahoma"/>
            <family val="2"/>
          </rPr>
          <t>WDFW:</t>
        </r>
        <r>
          <rPr>
            <sz val="9"/>
            <color indexed="81"/>
            <rFont val="Tahoma"/>
            <family val="2"/>
          </rPr>
          <t xml:space="preserve">
Research</t>
        </r>
      </text>
    </comment>
    <comment ref="U7" authorId="0" shapeId="0">
      <text>
        <r>
          <rPr>
            <b/>
            <sz val="9"/>
            <color indexed="81"/>
            <rFont val="Tahoma"/>
            <family val="2"/>
          </rPr>
          <t>WDFW:</t>
        </r>
        <r>
          <rPr>
            <sz val="9"/>
            <color indexed="81"/>
            <rFont val="Tahoma"/>
            <family val="2"/>
          </rPr>
          <t xml:space="preserve">
Includes the greater of PRD/WA/RID plus Prosser + Round Butte + H395-PRD Sport + Wanapum tribal and Deschutes tribal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WDFW:</t>
        </r>
        <r>
          <rPr>
            <sz val="9"/>
            <color indexed="81"/>
            <rFont val="Tahoma"/>
            <family val="2"/>
          </rPr>
          <t xml:space="preserve">
based on creel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WDFW:</t>
        </r>
        <r>
          <rPr>
            <sz val="9"/>
            <color indexed="81"/>
            <rFont val="Tahoma"/>
            <family val="2"/>
          </rPr>
          <t xml:space="preserve">
based on creel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WDFW:</t>
        </r>
        <r>
          <rPr>
            <sz val="9"/>
            <color indexed="81"/>
            <rFont val="Tahoma"/>
            <family val="2"/>
          </rPr>
          <t xml:space="preserve">
Based on CRC data unless creel is available.  May include harvest in tribs for full accounting 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WDFW:</t>
        </r>
        <r>
          <rPr>
            <sz val="9"/>
            <color indexed="81"/>
            <rFont val="Tahoma"/>
            <family val="2"/>
          </rPr>
          <t xml:space="preserve">
based on WA CRC data</t>
        </r>
      </text>
    </comment>
    <comment ref="U22" authorId="0" shapeId="0">
      <text>
        <r>
          <rPr>
            <b/>
            <sz val="8"/>
            <color indexed="81"/>
            <rFont val="Tahoma"/>
            <family val="2"/>
          </rPr>
          <t>WDFW:</t>
        </r>
        <r>
          <rPr>
            <sz val="8"/>
            <color indexed="81"/>
            <rFont val="Tahoma"/>
            <family val="2"/>
          </rPr>
          <t xml:space="preserve">
 Mainstem above PRD based on creel since 2012.  Data from UPC sport harvest file housed by ehlke and provided by Korth 
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WDFW:</t>
        </r>
        <r>
          <rPr>
            <sz val="9"/>
            <color indexed="81"/>
            <rFont val="Tahoma"/>
            <family val="2"/>
          </rPr>
          <t xml:space="preserve">
2015 mainstem from creel in same upc file</t>
        </r>
      </text>
    </comment>
    <comment ref="AE22" authorId="1" shapeId="0">
      <text>
        <r>
          <rPr>
            <b/>
            <sz val="9"/>
            <color indexed="81"/>
            <rFont val="Tahoma"/>
            <family val="2"/>
          </rPr>
          <t>Stuart Ellis:</t>
        </r>
        <r>
          <rPr>
            <sz val="9"/>
            <color indexed="81"/>
            <rFont val="Tahoma"/>
            <family val="2"/>
          </rPr>
          <t xml:space="preserve">
Wanapum permit fishing area is from Vernita Bar to PRD (McNary Pool) and from PRD to Desert Aire Boat Ramp (Wanapum Pool) Where are the fish caught?</t>
        </r>
      </text>
    </comment>
    <comment ref="P23" authorId="1" shapeId="0">
      <text>
        <r>
          <rPr>
            <b/>
            <sz val="9"/>
            <color indexed="81"/>
            <rFont val="Tahoma"/>
            <family val="2"/>
          </rPr>
          <t>Stuart Ellis:</t>
        </r>
        <r>
          <rPr>
            <sz val="9"/>
            <color indexed="81"/>
            <rFont val="Tahoma"/>
            <family val="2"/>
          </rPr>
          <t xml:space="preserve">
I just doubled the 33 fish sold of fish tickets as a first guess until Roger comes up with and estimate.
</t>
        </r>
      </text>
    </comment>
    <comment ref="S23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Hoffarth Feb 2018:
CRC data only, no creel</t>
        </r>
      </text>
    </comment>
    <comment ref="T23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Hoffarth Feb 2018:
CRC data only, no creel</t>
        </r>
      </text>
    </comment>
    <comment ref="W23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Hoffarth Feb 2018:
No fishery in the Yakima River but anglers fish at the confluence of the Columbia River (probably reported wrong area?)</t>
        </r>
      </text>
    </comment>
    <comment ref="E24" authorId="3" shapeId="0">
      <text>
        <r>
          <rPr>
            <b/>
            <sz val="9"/>
            <color indexed="81"/>
            <rFont val="Tahoma"/>
            <family val="2"/>
          </rPr>
          <t>Sippel, Timothy J (DFW):</t>
        </r>
        <r>
          <rPr>
            <sz val="9"/>
            <color indexed="81"/>
            <rFont val="Tahoma"/>
            <family val="2"/>
          </rPr>
          <t xml:space="preserve">
5417lbs and 2006 shad harvested through June 20,  2017</t>
        </r>
      </text>
    </comment>
    <comment ref="L24" authorId="3" shapeId="0">
      <text>
        <r>
          <rPr>
            <b/>
            <sz val="9"/>
            <color indexed="81"/>
            <rFont val="Tahoma"/>
            <family val="2"/>
          </rPr>
          <t>Sippel, Timothy J (DFW):</t>
        </r>
        <r>
          <rPr>
            <sz val="9"/>
            <color indexed="81"/>
            <rFont val="Tahoma"/>
            <family val="2"/>
          </rPr>
          <t xml:space="preserve">
3 kept + 18 release @ 15% mort
</t>
        </r>
      </text>
    </comment>
    <comment ref="S24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Hoffarth Feb 2018
CRC only, not available until 10/18</t>
        </r>
      </text>
    </comment>
    <comment ref="T24" authorId="3" shapeId="0">
      <text>
        <r>
          <rPr>
            <b/>
            <sz val="9"/>
            <color indexed="81"/>
            <rFont val="Tahoma"/>
            <family val="2"/>
          </rPr>
          <t>Sippel, Timothy J (DFW):</t>
        </r>
        <r>
          <rPr>
            <sz val="9"/>
            <color indexed="81"/>
            <rFont val="Tahoma"/>
            <family val="2"/>
          </rPr>
          <t xml:space="preserve">
Ask Hoffarth for break down of columns u and v</t>
        </r>
      </text>
    </comment>
    <comment ref="W24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Hoffarth Feb 2018:
No fishery in the Yakima River but anglers fish at the confluence of the Columbia River (probably reported wrong area?)</t>
        </r>
      </text>
    </comment>
  </commentList>
</comments>
</file>

<file path=xl/comments4.xml><?xml version="1.0" encoding="utf-8"?>
<comments xmlns="http://schemas.openxmlformats.org/spreadsheetml/2006/main">
  <authors>
    <author>Jon Hess Admin</author>
    <author>WDFW</author>
    <author>Stuart Ellis</author>
    <author>valued critfc user</author>
    <author>Reviewer</author>
    <author>Windows User</author>
    <author>Sippel, Timothy J (DFW)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Jon Hess Admin:</t>
        </r>
        <r>
          <rPr>
            <sz val="9"/>
            <color indexed="81"/>
            <rFont val="Tahoma"/>
            <family val="2"/>
          </rPr>
          <t xml:space="preserve">
The total non-treaty has an error in the BA because it adds the subtotal Non-Treaty zone 1-5 twice.</t>
        </r>
      </text>
    </comment>
    <comment ref="H32" authorId="1" shapeId="0">
      <text>
        <r>
          <rPr>
            <b/>
            <sz val="9"/>
            <color indexed="81"/>
            <rFont val="Tahoma"/>
            <family val="2"/>
          </rPr>
          <t>WDFW:</t>
        </r>
        <r>
          <rPr>
            <sz val="9"/>
            <color indexed="81"/>
            <rFont val="Tahoma"/>
            <family val="2"/>
          </rPr>
          <t xml:space="preserve">
based on creel</t>
        </r>
      </text>
    </comment>
    <comment ref="I32" authorId="1" shapeId="0">
      <text>
        <r>
          <rPr>
            <b/>
            <sz val="9"/>
            <color indexed="81"/>
            <rFont val="Tahoma"/>
            <family val="2"/>
          </rPr>
          <t>WDFW:</t>
        </r>
        <r>
          <rPr>
            <sz val="9"/>
            <color indexed="81"/>
            <rFont val="Tahoma"/>
            <family val="2"/>
          </rPr>
          <t xml:space="preserve">
based on creel</t>
        </r>
      </text>
    </comment>
    <comment ref="M32" authorId="1" shapeId="0">
      <text>
        <r>
          <rPr>
            <b/>
            <sz val="9"/>
            <color indexed="81"/>
            <rFont val="Tahoma"/>
            <family val="2"/>
          </rPr>
          <t>WDFW:</t>
        </r>
        <r>
          <rPr>
            <sz val="9"/>
            <color indexed="81"/>
            <rFont val="Tahoma"/>
            <family val="2"/>
          </rPr>
          <t xml:space="preserve">
Based on CRC data unless creel is available.  May include harvest in tribs for full accounting </t>
        </r>
      </text>
    </comment>
    <comment ref="T32" authorId="1" shapeId="0">
      <text>
        <r>
          <rPr>
            <b/>
            <sz val="9"/>
            <color indexed="81"/>
            <rFont val="Tahoma"/>
            <family val="2"/>
          </rPr>
          <t>WDFW:</t>
        </r>
        <r>
          <rPr>
            <sz val="9"/>
            <color indexed="81"/>
            <rFont val="Tahoma"/>
            <family val="2"/>
          </rPr>
          <t xml:space="preserve">
based on WA CRC data</t>
        </r>
      </text>
    </comment>
    <comment ref="V32" authorId="1" shapeId="0">
      <text>
        <r>
          <rPr>
            <b/>
            <sz val="8"/>
            <color indexed="81"/>
            <rFont val="Tahoma"/>
            <family val="2"/>
          </rPr>
          <t>WDFW:</t>
        </r>
        <r>
          <rPr>
            <sz val="8"/>
            <color indexed="81"/>
            <rFont val="Tahoma"/>
            <family val="2"/>
          </rPr>
          <t xml:space="preserve">
 Mainstem above PRD based on creel since 2012.  Data from UPC sport harvest file housed by ehlke and provided by Korth 
</t>
        </r>
      </text>
    </comment>
    <comment ref="W32" authorId="1" shapeId="0">
      <text>
        <r>
          <rPr>
            <b/>
            <sz val="9"/>
            <color indexed="81"/>
            <rFont val="Tahoma"/>
            <family val="2"/>
          </rPr>
          <t>WDFW:</t>
        </r>
        <r>
          <rPr>
            <sz val="9"/>
            <color indexed="81"/>
            <rFont val="Tahoma"/>
            <family val="2"/>
          </rPr>
          <t xml:space="preserve">
2015 mainstem from creel in same upc file</t>
        </r>
      </text>
    </comment>
    <comment ref="AF32" authorId="2" shapeId="0">
      <text>
        <r>
          <rPr>
            <b/>
            <sz val="9"/>
            <color indexed="81"/>
            <rFont val="Tahoma"/>
            <family val="2"/>
          </rPr>
          <t>Stuart Ellis:</t>
        </r>
        <r>
          <rPr>
            <sz val="9"/>
            <color indexed="81"/>
            <rFont val="Tahoma"/>
            <family val="2"/>
          </rPr>
          <t xml:space="preserve">
Wanapum permit fishing area is from Vernita Bar to PRD (McNary Pool) and from PRD to Desert Aire Boat Ramp (Wanapum Pool) Where are the fish caught?</t>
        </r>
      </text>
    </comment>
    <comment ref="AD47" authorId="1" shapeId="0">
      <text>
        <r>
          <rPr>
            <b/>
            <sz val="8"/>
            <color indexed="81"/>
            <rFont val="Tahoma"/>
            <family val="2"/>
          </rPr>
          <t>WDFW:</t>
        </r>
        <r>
          <rPr>
            <sz val="8"/>
            <color indexed="81"/>
            <rFont val="Tahoma"/>
            <family val="2"/>
          </rPr>
          <t xml:space="preserve">
Experimental fishery in PRD pool - upstream of the snake</t>
        </r>
      </text>
    </comment>
    <comment ref="H55" authorId="2" shapeId="0">
      <text>
        <r>
          <rPr>
            <b/>
            <sz val="8"/>
            <color indexed="81"/>
            <rFont val="Tahoma"/>
            <family val="2"/>
          </rPr>
          <t>Stuart Ellis:</t>
        </r>
        <r>
          <rPr>
            <sz val="8"/>
            <color indexed="81"/>
            <rFont val="Tahoma"/>
            <family val="2"/>
          </rPr>
          <t xml:space="preserve">
22 kept, 18 released, 10% release mortality</t>
        </r>
      </text>
    </comment>
    <comment ref="N55" authorId="2" shapeId="0">
      <text>
        <r>
          <rPr>
            <b/>
            <sz val="8"/>
            <color indexed="81"/>
            <rFont val="Tahoma"/>
            <family val="2"/>
          </rPr>
          <t>Stuart Ellis:</t>
        </r>
        <r>
          <rPr>
            <sz val="8"/>
            <color indexed="81"/>
            <rFont val="Tahoma"/>
            <family val="2"/>
          </rPr>
          <t xml:space="preserve">
Commercial Sales of Platform Caught fish (includes take home)</t>
        </r>
      </text>
    </comment>
    <comment ref="C56" authorId="2" shapeId="0">
      <text>
        <r>
          <rPr>
            <b/>
            <sz val="8"/>
            <color indexed="81"/>
            <rFont val="Tahoma"/>
            <family val="2"/>
          </rPr>
          <t>Stuart Ellis:</t>
        </r>
        <r>
          <rPr>
            <sz val="8"/>
            <color indexed="81"/>
            <rFont val="Tahoma"/>
            <family val="2"/>
          </rPr>
          <t xml:space="preserve">
1558 z1-5 plus 1 in YB harvest.  Based on the proportion of snake river fish  it is estimated that 0.68 snake river fish were released in this fishery.  CL updated 12/08/04</t>
        </r>
      </text>
    </comment>
    <comment ref="D56" authorId="2" shapeId="0">
      <text>
        <r>
          <rPr>
            <b/>
            <sz val="8"/>
            <color indexed="81"/>
            <rFont val="Tahoma"/>
            <family val="2"/>
          </rPr>
          <t>Stuart Ellis:</t>
        </r>
        <r>
          <rPr>
            <sz val="8"/>
            <color indexed="81"/>
            <rFont val="Tahoma"/>
            <family val="2"/>
          </rPr>
          <t xml:space="preserve">
1558 z1-5 plus 1 in YB harvest.  Based on the proportion of snake river fish  it is estimated that 0.68 snake river fish were released in this fishery.  CL updated 12/08/04</t>
        </r>
      </text>
    </comment>
    <comment ref="F56" authorId="2" shapeId="0">
      <text>
        <r>
          <rPr>
            <b/>
            <sz val="8"/>
            <color indexed="81"/>
            <rFont val="Tahoma"/>
            <family val="2"/>
          </rPr>
          <t>Stuart Ellis:</t>
        </r>
        <r>
          <rPr>
            <sz val="8"/>
            <color indexed="81"/>
            <rFont val="Tahoma"/>
            <family val="2"/>
          </rPr>
          <t xml:space="preserve">
Estimated Mortalities</t>
        </r>
      </text>
    </comment>
    <comment ref="H57" authorId="2" shapeId="0">
      <text>
        <r>
          <rPr>
            <b/>
            <sz val="8"/>
            <color indexed="81"/>
            <rFont val="Tahoma"/>
            <family val="2"/>
          </rPr>
          <t>Stuart Ellis:</t>
        </r>
        <r>
          <rPr>
            <sz val="8"/>
            <color indexed="81"/>
            <rFont val="Tahoma"/>
            <family val="2"/>
          </rPr>
          <t xml:space="preserve">
13 kept + 47 release * 10%</t>
        </r>
      </text>
    </comment>
    <comment ref="T57" authorId="1" shapeId="0">
      <text>
        <r>
          <rPr>
            <b/>
            <sz val="9"/>
            <color indexed="81"/>
            <rFont val="Tahoma"/>
            <family val="2"/>
          </rPr>
          <t>WDFW:</t>
        </r>
        <r>
          <rPr>
            <sz val="9"/>
            <color indexed="81"/>
            <rFont val="Tahoma"/>
            <family val="2"/>
          </rPr>
          <t xml:space="preserve">
CRC area is McN to PRD</t>
        </r>
      </text>
    </comment>
    <comment ref="AC57" authorId="2" shapeId="0">
      <text>
        <r>
          <rPr>
            <b/>
            <sz val="9"/>
            <color indexed="81"/>
            <rFont val="Tahoma"/>
            <family val="2"/>
          </rPr>
          <t>Stuart Ellis:</t>
        </r>
        <r>
          <rPr>
            <sz val="9"/>
            <color indexed="81"/>
            <rFont val="Tahoma"/>
            <family val="2"/>
          </rPr>
          <t xml:space="preserve">
63 fish listed as caught in icicle Cr</t>
        </r>
      </text>
    </comment>
    <comment ref="N58" authorId="2" shapeId="0">
      <text>
        <r>
          <rPr>
            <b/>
            <sz val="8"/>
            <color indexed="81"/>
            <rFont val="Tahoma"/>
            <family val="2"/>
          </rPr>
          <t>Stuart Ellis:</t>
        </r>
        <r>
          <rPr>
            <sz val="8"/>
            <color indexed="81"/>
            <rFont val="Tahoma"/>
            <family val="2"/>
          </rPr>
          <t xml:space="preserve">
Commercial Season Targetted Chinook</t>
        </r>
      </text>
    </comment>
    <comment ref="T58" authorId="1" shapeId="0">
      <text>
        <r>
          <rPr>
            <b/>
            <sz val="9"/>
            <color indexed="81"/>
            <rFont val="Tahoma"/>
            <family val="2"/>
          </rPr>
          <t>WDFW:</t>
        </r>
        <r>
          <rPr>
            <sz val="9"/>
            <color indexed="81"/>
            <rFont val="Tahoma"/>
            <family val="2"/>
          </rPr>
          <t xml:space="preserve">
CRC area is McN to PRD</t>
        </r>
      </text>
    </comment>
    <comment ref="T59" authorId="1" shapeId="0">
      <text>
        <r>
          <rPr>
            <b/>
            <sz val="9"/>
            <color indexed="81"/>
            <rFont val="Tahoma"/>
            <family val="2"/>
          </rPr>
          <t>WDFW:</t>
        </r>
        <r>
          <rPr>
            <sz val="9"/>
            <color indexed="81"/>
            <rFont val="Tahoma"/>
            <family val="2"/>
          </rPr>
          <t xml:space="preserve">
CRC area is McN to PRD</t>
        </r>
      </text>
    </comment>
    <comment ref="F60" authorId="2" shapeId="0">
      <text>
        <r>
          <rPr>
            <b/>
            <sz val="10"/>
            <color indexed="81"/>
            <rFont val="Tahoma"/>
            <family val="2"/>
          </rPr>
          <t>Stuart Ellis:</t>
        </r>
        <r>
          <rPr>
            <sz val="10"/>
            <color indexed="81"/>
            <rFont val="Tahoma"/>
            <family val="2"/>
          </rPr>
          <t xml:space="preserve">
0 mortalities 
(pre-season estimated handle was 5)</t>
        </r>
      </text>
    </comment>
    <comment ref="I60" authorId="2" shapeId="0">
      <text>
        <r>
          <rPr>
            <b/>
            <sz val="10"/>
            <color indexed="81"/>
            <rFont val="Tahoma"/>
            <family val="2"/>
          </rPr>
          <t>Stuart Ellis:</t>
        </r>
        <r>
          <rPr>
            <sz val="10"/>
            <color indexed="81"/>
            <rFont val="Tahoma"/>
            <family val="2"/>
          </rPr>
          <t xml:space="preserve">
hook and release mortality on 44 released fish - data from Cindy.</t>
        </r>
      </text>
    </comment>
    <comment ref="V62" authorId="2" shapeId="0">
      <text>
        <r>
          <rPr>
            <b/>
            <sz val="9"/>
            <color indexed="81"/>
            <rFont val="Tahoma"/>
            <family val="2"/>
          </rPr>
          <t>Stuart Ellis:</t>
        </r>
        <r>
          <rPr>
            <sz val="9"/>
            <color indexed="81"/>
            <rFont val="Tahoma"/>
            <family val="2"/>
          </rPr>
          <t xml:space="preserve">
not sure where this number came from</t>
        </r>
      </text>
    </comment>
    <comment ref="V63" authorId="2" shapeId="0">
      <text>
        <r>
          <rPr>
            <b/>
            <sz val="9"/>
            <color indexed="81"/>
            <rFont val="Tahoma"/>
            <family val="2"/>
          </rPr>
          <t>Stuart Ellis:</t>
        </r>
        <r>
          <rPr>
            <sz val="9"/>
            <color indexed="81"/>
            <rFont val="Tahoma"/>
            <family val="2"/>
          </rPr>
          <t xml:space="preserve">
from 2008 WA state sport catch report</t>
        </r>
      </text>
    </comment>
    <comment ref="AC63" authorId="2" shapeId="0">
      <text>
        <r>
          <rPr>
            <b/>
            <sz val="9"/>
            <color indexed="81"/>
            <rFont val="Tahoma"/>
            <family val="2"/>
          </rPr>
          <t>Stuart Ellis:</t>
        </r>
        <r>
          <rPr>
            <sz val="9"/>
            <color indexed="81"/>
            <rFont val="Tahoma"/>
            <family val="2"/>
          </rPr>
          <t xml:space="preserve">
from 2008 WA state sport catch report</t>
        </r>
      </text>
    </comment>
    <comment ref="M64" authorId="2" shapeId="0">
      <text>
        <r>
          <rPr>
            <sz val="9"/>
            <color indexed="81"/>
            <rFont val="Tahoma"/>
            <family val="2"/>
          </rPr>
          <t>Include WA CRC +OR CRC data.  No Z6 trib harvest reported</t>
        </r>
      </text>
    </comment>
    <comment ref="P64" authorId="2" shapeId="0">
      <text>
        <r>
          <rPr>
            <b/>
            <sz val="10"/>
            <color indexed="81"/>
            <rFont val="Tahoma"/>
            <family val="2"/>
          </rPr>
          <t>Stuart Ellis:</t>
        </r>
        <r>
          <rPr>
            <sz val="10"/>
            <color indexed="81"/>
            <rFont val="Tahoma"/>
            <family val="2"/>
          </rPr>
          <t xml:space="preserve">
included in commercial gillnet catch
</t>
        </r>
      </text>
    </comment>
    <comment ref="V64" authorId="2" shapeId="0">
      <text>
        <r>
          <rPr>
            <b/>
            <sz val="9"/>
            <color indexed="81"/>
            <rFont val="Tahoma"/>
            <family val="2"/>
          </rPr>
          <t>Stuart Ellis:</t>
        </r>
        <r>
          <rPr>
            <sz val="9"/>
            <color indexed="81"/>
            <rFont val="Tahoma"/>
            <family val="2"/>
          </rPr>
          <t xml:space="preserve">
from wdfw sport catch report
Corrected 11/13/13 RE</t>
        </r>
      </text>
    </comment>
    <comment ref="AC64" authorId="2" shapeId="0">
      <text>
        <r>
          <rPr>
            <b/>
            <sz val="9"/>
            <color indexed="81"/>
            <rFont val="Tahoma"/>
            <family val="2"/>
          </rPr>
          <t>Stuart Ellis:</t>
        </r>
        <r>
          <rPr>
            <sz val="9"/>
            <color indexed="81"/>
            <rFont val="Tahoma"/>
            <family val="2"/>
          </rPr>
          <t xml:space="preserve">
Data from Art Viola WDFW memo dated Aug 11, 2009  total catch 2285.   2229 kept 56 released.
</t>
        </r>
      </text>
    </comment>
    <comment ref="H65" authorId="1" shapeId="0">
      <text>
        <r>
          <rPr>
            <b/>
            <sz val="8"/>
            <color indexed="81"/>
            <rFont val="Tahoma"/>
            <family val="2"/>
          </rPr>
          <t>WDFW:</t>
        </r>
        <r>
          <rPr>
            <sz val="8"/>
            <color indexed="81"/>
            <rFont val="Tahoma"/>
            <family val="2"/>
          </rPr>
          <t xml:space="preserve">
retention alllowed beginning Jun 24</t>
        </r>
      </text>
    </comment>
    <comment ref="I65" authorId="1" shapeId="0">
      <text>
        <r>
          <rPr>
            <b/>
            <sz val="8"/>
            <color indexed="81"/>
            <rFont val="Tahoma"/>
            <family val="2"/>
          </rPr>
          <t>WDFW:</t>
        </r>
        <r>
          <rPr>
            <sz val="8"/>
            <color indexed="81"/>
            <rFont val="Tahoma"/>
            <family val="2"/>
          </rPr>
          <t xml:space="preserve">
includes 2 sockeye released in August</t>
        </r>
      </text>
    </comment>
    <comment ref="M65" authorId="1" shapeId="0">
      <text>
        <r>
          <rPr>
            <b/>
            <sz val="9"/>
            <color indexed="81"/>
            <rFont val="Tahoma"/>
            <family val="2"/>
          </rPr>
          <t>WDFW:</t>
        </r>
        <r>
          <rPr>
            <sz val="9"/>
            <color indexed="81"/>
            <rFont val="Tahoma"/>
            <family val="2"/>
          </rPr>
          <t xml:space="preserve">
WDFW CRC.  No trib harvest</t>
        </r>
      </text>
    </comment>
    <comment ref="P65" authorId="2" shapeId="0">
      <text>
        <r>
          <rPr>
            <b/>
            <sz val="10"/>
            <color indexed="81"/>
            <rFont val="Tahoma"/>
            <family val="2"/>
          </rPr>
          <t>Stuart Ellis:</t>
        </r>
        <r>
          <rPr>
            <sz val="10"/>
            <color indexed="81"/>
            <rFont val="Tahoma"/>
            <family val="2"/>
          </rPr>
          <t xml:space="preserve">
included in commercial gillnet catch
</t>
        </r>
      </text>
    </comment>
    <comment ref="R65" authorId="3" shapeId="0">
      <text>
        <r>
          <rPr>
            <b/>
            <sz val="10"/>
            <color indexed="81"/>
            <rFont val="Tahoma"/>
            <family val="2"/>
          </rPr>
          <t>valued critfc user:</t>
        </r>
        <r>
          <rPr>
            <sz val="10"/>
            <color indexed="81"/>
            <rFont val="Tahoma"/>
            <family val="2"/>
          </rPr>
          <t xml:space="preserve">
Includes below Bon</t>
        </r>
      </text>
    </comment>
    <comment ref="V65" authorId="1" shapeId="0">
      <text>
        <r>
          <rPr>
            <b/>
            <sz val="9"/>
            <color indexed="81"/>
            <rFont val="Tahoma"/>
            <family val="2"/>
          </rPr>
          <t>WDFW:</t>
        </r>
        <r>
          <rPr>
            <sz val="9"/>
            <color indexed="81"/>
            <rFont val="Tahoma"/>
            <family val="2"/>
          </rPr>
          <t xml:space="preserve">
updated 11/13/13 based on prelim CRC data.  (PRD- CJD)</t>
        </r>
      </text>
    </comment>
    <comment ref="AC65" authorId="1" shapeId="0">
      <text>
        <r>
          <rPr>
            <b/>
            <sz val="9"/>
            <color indexed="81"/>
            <rFont val="Tahoma"/>
            <family val="2"/>
          </rPr>
          <t>WDFW:</t>
        </r>
        <r>
          <rPr>
            <sz val="9"/>
            <color indexed="81"/>
            <rFont val="Tahoma"/>
            <family val="2"/>
          </rPr>
          <t xml:space="preserve">
Data from 2010 Lake Wenatchee Sockeye Salmon Creel Survey.doc from WDFW. No date.</t>
        </r>
      </text>
    </comment>
    <comment ref="P66" authorId="2" shapeId="0">
      <text>
        <r>
          <rPr>
            <b/>
            <sz val="9"/>
            <color indexed="81"/>
            <rFont val="Tahoma"/>
            <family val="2"/>
          </rPr>
          <t>Stuart Ellis:</t>
        </r>
        <r>
          <rPr>
            <sz val="9"/>
            <color indexed="81"/>
            <rFont val="Tahoma"/>
            <family val="2"/>
          </rPr>
          <t xml:space="preserve">
Platform Catch Included in Gillnet catch</t>
        </r>
      </text>
    </comment>
    <comment ref="Q66" authorId="2" shapeId="0">
      <text>
        <r>
          <rPr>
            <b/>
            <sz val="9"/>
            <color indexed="81"/>
            <rFont val="Tahoma"/>
            <family val="2"/>
          </rPr>
          <t>Stuart Ellis:</t>
        </r>
        <r>
          <rPr>
            <sz val="9"/>
            <color indexed="81"/>
            <rFont val="Tahoma"/>
            <family val="2"/>
          </rPr>
          <t xml:space="preserve">
four sold on fish tickets
</t>
        </r>
      </text>
    </comment>
    <comment ref="V66" authorId="1" shapeId="0">
      <text>
        <r>
          <rPr>
            <b/>
            <sz val="9"/>
            <color indexed="81"/>
            <rFont val="Tahoma"/>
            <family val="2"/>
          </rPr>
          <t>WDFW:</t>
        </r>
        <r>
          <rPr>
            <sz val="9"/>
            <color indexed="81"/>
            <rFont val="Tahoma"/>
            <family val="2"/>
          </rPr>
          <t xml:space="preserve">
updated 11/13/13 based on Prelim CRC data</t>
        </r>
      </text>
    </comment>
    <comment ref="C67" authorId="4" shapeId="0">
      <text>
        <r>
          <rPr>
            <b/>
            <sz val="9"/>
            <color indexed="81"/>
            <rFont val="Tahoma"/>
            <family val="2"/>
          </rPr>
          <t>Reviewer:</t>
        </r>
        <r>
          <rPr>
            <sz val="9"/>
            <color indexed="81"/>
            <rFont val="Tahoma"/>
            <family val="2"/>
          </rPr>
          <t xml:space="preserve">
447 summer 1 fall</t>
        </r>
      </text>
    </comment>
    <comment ref="G67" authorId="1" shapeId="0">
      <text>
        <r>
          <rPr>
            <b/>
            <sz val="9"/>
            <color indexed="81"/>
            <rFont val="Tahoma"/>
            <family val="2"/>
          </rPr>
          <t>WDFW:</t>
        </r>
        <r>
          <rPr>
            <sz val="9"/>
            <color indexed="81"/>
            <rFont val="Tahoma"/>
            <family val="2"/>
          </rPr>
          <t xml:space="preserve">
mainly seine gear tested to harvest shad</t>
        </r>
      </text>
    </comment>
    <comment ref="M67" authorId="1" shapeId="0">
      <text>
        <r>
          <rPr>
            <b/>
            <sz val="9"/>
            <color indexed="81"/>
            <rFont val="Tahoma"/>
            <family val="2"/>
          </rPr>
          <t>WDFW:</t>
        </r>
        <r>
          <rPr>
            <sz val="9"/>
            <color indexed="81"/>
            <rFont val="Tahoma"/>
            <family val="2"/>
          </rPr>
          <t xml:space="preserve">
WA+OR No sockeye harvest in tribs reported</t>
        </r>
      </text>
    </comment>
    <comment ref="AC67" authorId="2" shapeId="0">
      <text>
        <r>
          <rPr>
            <b/>
            <sz val="9"/>
            <color indexed="81"/>
            <rFont val="Tahoma"/>
            <family val="2"/>
          </rPr>
          <t>Stuart Ellis:</t>
        </r>
        <r>
          <rPr>
            <sz val="9"/>
            <color indexed="81"/>
            <rFont val="Tahoma"/>
            <family val="2"/>
          </rPr>
          <t xml:space="preserve">
Data from Travis Maitland WDFW Memo dated January 11, 2013.</t>
        </r>
      </text>
    </comment>
    <comment ref="G68" authorId="1" shapeId="0">
      <text>
        <r>
          <rPr>
            <b/>
            <sz val="9"/>
            <color indexed="81"/>
            <rFont val="Tahoma"/>
            <family val="2"/>
          </rPr>
          <t>WDFW: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8" authorId="1" shapeId="0">
      <text>
        <r>
          <rPr>
            <b/>
            <sz val="9"/>
            <color indexed="81"/>
            <rFont val="Tahoma"/>
            <family val="2"/>
          </rPr>
          <t>WDFW: 25nov15</t>
        </r>
        <r>
          <rPr>
            <sz val="9"/>
            <color indexed="81"/>
            <rFont val="Tahoma"/>
            <family val="2"/>
          </rPr>
          <t xml:space="preserve">
18 from WA CRC and 26 from OR CRC 'other'.  No sockeye harvest reported in tribs. .  Beginning in 2013, use of single point hooks required at C.Locks which reduced snagging potential and significantly reduced effort and catch</t>
        </r>
      </text>
    </comment>
    <comment ref="Q68" authorId="2" shapeId="0">
      <text>
        <r>
          <rPr>
            <b/>
            <sz val="9"/>
            <color indexed="81"/>
            <rFont val="Tahoma"/>
            <family val="2"/>
          </rPr>
          <t>Stuart Ellis:</t>
        </r>
        <r>
          <rPr>
            <sz val="9"/>
            <color indexed="81"/>
            <rFont val="Tahoma"/>
            <family val="2"/>
          </rPr>
          <t xml:space="preserve">
six sold on fish tickets</t>
        </r>
      </text>
    </comment>
    <comment ref="AC68" authorId="2" shapeId="0">
      <text>
        <r>
          <rPr>
            <b/>
            <sz val="9"/>
            <color indexed="81"/>
            <rFont val="Tahoma"/>
            <family val="2"/>
          </rPr>
          <t>Stuart Ellis:</t>
        </r>
        <r>
          <rPr>
            <sz val="9"/>
            <color indexed="81"/>
            <rFont val="Tahoma"/>
            <family val="2"/>
          </rPr>
          <t xml:space="preserve">
data from Travis Maitland WDFW memo dated Jan ? 2014   6283 fish landed 21 fish released.</t>
        </r>
      </text>
    </comment>
    <comment ref="AG68" authorId="2" shapeId="0">
      <text>
        <r>
          <rPr>
            <b/>
            <sz val="9"/>
            <color indexed="81"/>
            <rFont val="Tahoma"/>
            <family val="2"/>
          </rPr>
          <t>Stuart Ellis:</t>
        </r>
        <r>
          <rPr>
            <sz val="9"/>
            <color indexed="81"/>
            <rFont val="Tahoma"/>
            <family val="2"/>
          </rPr>
          <t xml:space="preserve">
Three fish kept, one released</t>
        </r>
      </text>
    </comment>
    <comment ref="C69" authorId="4" shapeId="0">
      <text>
        <r>
          <rPr>
            <b/>
            <sz val="9"/>
            <color indexed="81"/>
            <rFont val="Tahoma"/>
            <family val="2"/>
          </rPr>
          <t>Reviewer:</t>
        </r>
        <r>
          <rPr>
            <sz val="9"/>
            <color indexed="81"/>
            <rFont val="Tahoma"/>
            <family val="2"/>
          </rPr>
          <t xml:space="preserve">
1 spring, 276 summer</t>
        </r>
      </text>
    </comment>
    <comment ref="G69" authorId="1" shapeId="0">
      <text>
        <r>
          <rPr>
            <b/>
            <sz val="9"/>
            <color indexed="81"/>
            <rFont val="Tahoma"/>
            <family val="2"/>
          </rPr>
          <t>WDFW:</t>
        </r>
        <r>
          <rPr>
            <sz val="9"/>
            <color indexed="81"/>
            <rFont val="Tahoma"/>
            <family val="2"/>
          </rPr>
          <t xml:space="preserve">
mainly from gear test using seines to harvest shad</t>
        </r>
      </text>
    </comment>
    <comment ref="H69" authorId="2" shapeId="0">
      <text>
        <r>
          <rPr>
            <b/>
            <sz val="9"/>
            <color indexed="81"/>
            <rFont val="Tahoma"/>
            <family val="2"/>
          </rPr>
          <t>Stuart Ellis:</t>
        </r>
        <r>
          <rPr>
            <sz val="9"/>
            <color indexed="81"/>
            <rFont val="Tahoma"/>
            <family val="2"/>
          </rPr>
          <t xml:space="preserve">
6 in spring season 
932 in summer</t>
        </r>
      </text>
    </comment>
    <comment ref="I69" authorId="2" shapeId="0">
      <text>
        <r>
          <rPr>
            <b/>
            <sz val="9"/>
            <color indexed="81"/>
            <rFont val="Tahoma"/>
            <family val="2"/>
          </rPr>
          <t>Stuart Ellis:</t>
        </r>
        <r>
          <rPr>
            <sz val="9"/>
            <color indexed="81"/>
            <rFont val="Tahoma"/>
            <family val="2"/>
          </rPr>
          <t xml:space="preserve">
171 in spring
226 in summer
</t>
        </r>
      </text>
    </comment>
    <comment ref="M69" authorId="1" shapeId="0">
      <text>
        <r>
          <rPr>
            <b/>
            <sz val="9"/>
            <color indexed="81"/>
            <rFont val="Tahoma"/>
            <family val="2"/>
          </rPr>
          <t>WDFW: 25Nov15</t>
        </r>
        <r>
          <rPr>
            <sz val="9"/>
            <color indexed="81"/>
            <rFont val="Tahoma"/>
            <family val="2"/>
          </rPr>
          <t xml:space="preserve">
Creel includes 65 kept +0 rel.  WA CRC =107.  No oregon CRC
</t>
        </r>
      </text>
    </comment>
    <comment ref="T69" authorId="1" shapeId="0">
      <text>
        <r>
          <rPr>
            <b/>
            <sz val="9"/>
            <color indexed="81"/>
            <rFont val="Tahoma"/>
            <family val="2"/>
          </rPr>
          <t>WDFW:</t>
        </r>
        <r>
          <rPr>
            <sz val="9"/>
            <color indexed="81"/>
            <rFont val="Tahoma"/>
            <family val="2"/>
          </rPr>
          <t xml:space="preserve">
WA  CRC plus OR 5-yr ave</t>
        </r>
      </text>
    </comment>
    <comment ref="U69" authorId="1" shapeId="0">
      <text>
        <r>
          <rPr>
            <b/>
            <sz val="9"/>
            <color indexed="81"/>
            <rFont val="Tahoma"/>
            <family val="2"/>
          </rPr>
          <t>WDFW:</t>
        </r>
        <r>
          <rPr>
            <sz val="9"/>
            <color indexed="81"/>
            <rFont val="Tahoma"/>
            <family val="2"/>
          </rPr>
          <t xml:space="preserve">
 CRC</t>
        </r>
      </text>
    </comment>
    <comment ref="AG69" authorId="4" shapeId="0">
      <text>
        <r>
          <rPr>
            <b/>
            <sz val="9"/>
            <color indexed="81"/>
            <rFont val="Tahoma"/>
            <family val="2"/>
          </rPr>
          <t>Reviewer:</t>
        </r>
        <r>
          <rPr>
            <sz val="9"/>
            <color indexed="81"/>
            <rFont val="Tahoma"/>
            <family val="2"/>
          </rPr>
          <t xml:space="preserve">
Per Rod French 11/25/15
</t>
        </r>
      </text>
    </comment>
    <comment ref="C70" authorId="4" shapeId="0">
      <text>
        <r>
          <rPr>
            <b/>
            <sz val="9"/>
            <color indexed="81"/>
            <rFont val="Tahoma"/>
            <family val="2"/>
          </rPr>
          <t>Reviewer:</t>
        </r>
        <r>
          <rPr>
            <sz val="9"/>
            <color indexed="81"/>
            <rFont val="Tahoma"/>
            <family val="2"/>
          </rPr>
          <t xml:space="preserve">
55 spring, 329 summer</t>
        </r>
      </text>
    </comment>
    <comment ref="G70" authorId="1" shapeId="0">
      <text>
        <r>
          <rPr>
            <b/>
            <sz val="9"/>
            <color indexed="81"/>
            <rFont val="Tahoma"/>
            <family val="2"/>
          </rPr>
          <t>WDFW:</t>
        </r>
        <r>
          <rPr>
            <sz val="9"/>
            <color indexed="81"/>
            <rFont val="Tahoma"/>
            <family val="2"/>
          </rPr>
          <t xml:space="preserve">
off-channel feasibility work</t>
        </r>
      </text>
    </comment>
    <comment ref="H70" authorId="4" shapeId="0">
      <text>
        <r>
          <rPr>
            <b/>
            <sz val="9"/>
            <color indexed="81"/>
            <rFont val="Tahoma"/>
            <family val="2"/>
          </rPr>
          <t>Reviewer:</t>
        </r>
        <r>
          <rPr>
            <sz val="9"/>
            <color indexed="81"/>
            <rFont val="Tahoma"/>
            <family val="2"/>
          </rPr>
          <t xml:space="preserve">
All summer season</t>
        </r>
      </text>
    </comment>
    <comment ref="M70" authorId="1" shapeId="0">
      <text>
        <r>
          <rPr>
            <b/>
            <sz val="9"/>
            <color indexed="81"/>
            <rFont val="Tahoma"/>
            <family val="2"/>
          </rPr>
          <t>WDFW:</t>
        </r>
        <r>
          <rPr>
            <sz val="9"/>
            <color indexed="81"/>
            <rFont val="Tahoma"/>
            <family val="2"/>
          </rPr>
          <t xml:space="preserve">
WA prelim CRC only.  No oregon data
</t>
        </r>
      </text>
    </comment>
    <comment ref="T70" authorId="1" shapeId="0">
      <text>
        <r>
          <rPr>
            <b/>
            <sz val="9"/>
            <color indexed="81"/>
            <rFont val="Tahoma"/>
            <family val="2"/>
          </rPr>
          <t>WDFW:</t>
        </r>
        <r>
          <rPr>
            <sz val="9"/>
            <color indexed="81"/>
            <rFont val="Tahoma"/>
            <family val="2"/>
          </rPr>
          <t xml:space="preserve">
assume 50% of 2014 estimate based on run-size magnitude</t>
        </r>
      </text>
    </comment>
    <comment ref="U70" authorId="2" shapeId="0">
      <text>
        <r>
          <rPr>
            <b/>
            <sz val="9"/>
            <color indexed="81"/>
            <rFont val="Tahoma"/>
            <family val="2"/>
          </rPr>
          <t>Stuart Ellis:</t>
        </r>
        <r>
          <rPr>
            <sz val="9"/>
            <color indexed="81"/>
            <rFont val="Tahoma"/>
            <family val="2"/>
          </rPr>
          <t xml:space="preserve">
prelim WA CRC
</t>
        </r>
      </text>
    </comment>
    <comment ref="V70" authorId="1" shapeId="0">
      <text>
        <r>
          <rPr>
            <b/>
            <sz val="9"/>
            <color indexed="81"/>
            <rFont val="Tahoma"/>
            <family val="2"/>
          </rPr>
          <t>WDFW:</t>
        </r>
        <r>
          <rPr>
            <sz val="9"/>
            <color indexed="81"/>
            <rFont val="Tahoma"/>
            <family val="2"/>
          </rPr>
          <t xml:space="preserve">
data from WDFW creel.  Includes mainstem and tribs from PRD upstream to Chief Joseph Dam</t>
        </r>
      </text>
    </comment>
    <comment ref="AG70" authorId="4" shapeId="0">
      <text>
        <r>
          <rPr>
            <b/>
            <sz val="9"/>
            <color indexed="81"/>
            <rFont val="Tahoma"/>
            <family val="2"/>
          </rPr>
          <t>Reviewer:</t>
        </r>
        <r>
          <rPr>
            <sz val="9"/>
            <color indexed="81"/>
            <rFont val="Tahoma"/>
            <family val="2"/>
          </rPr>
          <t xml:space="preserve">
Per Rod French 11/25/15
</t>
        </r>
      </text>
    </comment>
    <comment ref="Q71" authorId="2" shapeId="0">
      <text>
        <r>
          <rPr>
            <b/>
            <sz val="9"/>
            <color indexed="81"/>
            <rFont val="Tahoma"/>
            <family val="2"/>
          </rPr>
          <t>Stuart Ellis:</t>
        </r>
        <r>
          <rPr>
            <sz val="9"/>
            <color indexed="81"/>
            <rFont val="Tahoma"/>
            <family val="2"/>
          </rPr>
          <t xml:space="preserve">
I just doubled the 33 fish sold of fish tickets as a first guess until Roger comes up with and estimate.
</t>
        </r>
      </text>
    </comment>
    <comment ref="T71" authorId="5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Hoffarth Feb 2018:
CRC data only, no creel</t>
        </r>
      </text>
    </comment>
    <comment ref="U71" authorId="5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Hoffarth Feb 2018:
CRC data only, no creel</t>
        </r>
      </text>
    </comment>
    <comment ref="X71" authorId="5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Hoffarth Feb 2018:
No fishery in the Yakima River but anglers fish at the confluence of the Columbia River (probably reported wrong area?)</t>
        </r>
      </text>
    </comment>
    <comment ref="F72" authorId="6" shapeId="0">
      <text>
        <r>
          <rPr>
            <b/>
            <sz val="9"/>
            <color indexed="81"/>
            <rFont val="Tahoma"/>
            <family val="2"/>
          </rPr>
          <t>Sippel, Timothy J (DFW):</t>
        </r>
        <r>
          <rPr>
            <sz val="9"/>
            <color indexed="81"/>
            <rFont val="Tahoma"/>
            <family val="2"/>
          </rPr>
          <t xml:space="preserve">
5417lbs and 2006 shad harvested through June 20,  2017</t>
        </r>
      </text>
    </comment>
    <comment ref="M72" authorId="6" shapeId="0">
      <text>
        <r>
          <rPr>
            <b/>
            <sz val="9"/>
            <color indexed="81"/>
            <rFont val="Tahoma"/>
            <family val="2"/>
          </rPr>
          <t>Sippel, Timothy J (DFW):</t>
        </r>
        <r>
          <rPr>
            <sz val="9"/>
            <color indexed="81"/>
            <rFont val="Tahoma"/>
            <family val="2"/>
          </rPr>
          <t xml:space="preserve">
3 kept + 18 release @ 15% mort
</t>
        </r>
      </text>
    </comment>
    <comment ref="T72" authorId="5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Hoffarth Feb 2018
CRC only, not available until 10/18</t>
        </r>
      </text>
    </comment>
    <comment ref="U72" authorId="6" shapeId="0">
      <text>
        <r>
          <rPr>
            <b/>
            <sz val="9"/>
            <color indexed="81"/>
            <rFont val="Tahoma"/>
            <family val="2"/>
          </rPr>
          <t>Sippel, Timothy J (DFW):</t>
        </r>
        <r>
          <rPr>
            <sz val="9"/>
            <color indexed="81"/>
            <rFont val="Tahoma"/>
            <family val="2"/>
          </rPr>
          <t xml:space="preserve">
Ask Hoffarth for break down of columns u and v</t>
        </r>
      </text>
    </comment>
    <comment ref="X72" authorId="5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Hoffarth Feb 2018:
No fishery in the Yakima River but anglers fish at the confluence of the Columbia River (probably reported wrong area?)</t>
        </r>
      </text>
    </comment>
  </commentList>
</comments>
</file>

<file path=xl/comments5.xml><?xml version="1.0" encoding="utf-8"?>
<comments xmlns="http://schemas.openxmlformats.org/spreadsheetml/2006/main">
  <authors>
    <author>Jon Hess Admin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Jon Hess Admin:</t>
        </r>
        <r>
          <rPr>
            <sz val="9"/>
            <color indexed="81"/>
            <rFont val="Tahoma"/>
            <family val="2"/>
          </rPr>
          <t xml:space="preserve">
Highlighted cells changed values according to new BA tables</t>
        </r>
      </text>
    </comment>
  </commentList>
</comments>
</file>

<file path=xl/comments6.xml><?xml version="1.0" encoding="utf-8"?>
<comments xmlns="http://schemas.openxmlformats.org/spreadsheetml/2006/main">
  <authors>
    <author>Jon Hess Admin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Jon Hess Admin:</t>
        </r>
        <r>
          <rPr>
            <sz val="9"/>
            <color indexed="81"/>
            <rFont val="Tahoma"/>
            <family val="2"/>
          </rPr>
          <t xml:space="preserve">
Get the total on row 45 Ocean tab in the MR2016 Post Season Fall Model</t>
        </r>
      </text>
    </comment>
  </commentList>
</comments>
</file>

<file path=xl/comments7.xml><?xml version="1.0" encoding="utf-8"?>
<comments xmlns="http://schemas.openxmlformats.org/spreadsheetml/2006/main">
  <authors>
    <author>Jon Hess Admin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Jon Hess Admin:</t>
        </r>
        <r>
          <rPr>
            <sz val="9"/>
            <color indexed="81"/>
            <rFont val="Tahoma"/>
            <family val="2"/>
          </rPr>
          <t xml:space="preserve">
5460 is total non-treaty ocean usvor 
2389 is total columbia catch and mortality</t>
        </r>
      </text>
    </comment>
  </commentList>
</comments>
</file>

<file path=xl/comments8.xml><?xml version="1.0" encoding="utf-8"?>
<comments xmlns="http://schemas.openxmlformats.org/spreadsheetml/2006/main">
  <authors>
    <author>Kathryn Kostow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Kathryn Kostow:</t>
        </r>
        <r>
          <rPr>
            <sz val="9"/>
            <color indexed="81"/>
            <rFont val="Tahoma"/>
            <family val="2"/>
          </rPr>
          <t xml:space="preserve">
Looks like someone had rounded these at some point.  I've entered the actual values.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Kathryn Kostow:</t>
        </r>
        <r>
          <rPr>
            <sz val="9"/>
            <color indexed="81"/>
            <rFont val="Tahoma"/>
            <family val="2"/>
          </rPr>
          <t xml:space="preserve">
Looks like someone had rounded these at some point.  I've entered the actual values.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Kathryn Kostow:</t>
        </r>
        <r>
          <rPr>
            <sz val="9"/>
            <color indexed="81"/>
            <rFont val="Tahoma"/>
            <family val="2"/>
          </rPr>
          <t xml:space="preserve">
All of these values have changed.  Again!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Kathryn Kostow:</t>
        </r>
        <r>
          <rPr>
            <sz val="9"/>
            <color indexed="81"/>
            <rFont val="Tahoma"/>
            <family val="2"/>
          </rPr>
          <t xml:space="preserve">
Looks like someone had rounded these at some point.  I've entered the actual values.</t>
        </r>
      </text>
    </comment>
  </commentList>
</comments>
</file>

<file path=xl/comments9.xml><?xml version="1.0" encoding="utf-8"?>
<comments xmlns="http://schemas.openxmlformats.org/spreadsheetml/2006/main">
  <authors>
    <author>Stuart Ellis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Stuart Ellis:</t>
        </r>
        <r>
          <rPr>
            <sz val="9"/>
            <color indexed="81"/>
            <rFont val="Tahoma"/>
            <family val="2"/>
          </rPr>
          <t xml:space="preserve">
Robin sent a flie that says 1.1% but MR 2012 post season says 1.2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Stuart Ellis:</t>
        </r>
        <r>
          <rPr>
            <sz val="9"/>
            <color indexed="81"/>
            <rFont val="Tahoma"/>
            <family val="2"/>
          </rPr>
          <t xml:space="preserve">
Robin sent a file that says 1.9, but MR 2012 post season says 1.8%</t>
        </r>
      </text>
    </comment>
  </commentList>
</comments>
</file>

<file path=xl/sharedStrings.xml><?xml version="1.0" encoding="utf-8"?>
<sst xmlns="http://schemas.openxmlformats.org/spreadsheetml/2006/main" count="2715" uniqueCount="1011">
  <si>
    <t>This File Conains Tables for the TAC Annual Summary Report</t>
  </si>
  <si>
    <t xml:space="preserve">Date </t>
  </si>
  <si>
    <t>List of Tables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</si>
  <si>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</si>
  <si>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</si>
  <si>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</si>
  <si>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</si>
  <si>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</si>
  <si>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</si>
  <si>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</si>
  <si>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</si>
  <si>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</si>
  <si>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</si>
  <si>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</si>
  <si>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</si>
  <si>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</si>
  <si>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</si>
  <si>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</si>
  <si>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</si>
  <si>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</si>
  <si>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</si>
  <si>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</si>
  <si>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</si>
  <si>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</si>
  <si>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</si>
  <si>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</si>
  <si>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</si>
  <si>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</si>
  <si>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</si>
  <si>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</si>
  <si>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</si>
  <si>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</si>
  <si>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</si>
  <si>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</si>
  <si>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</si>
  <si>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</si>
  <si>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</si>
  <si>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</si>
  <si>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</si>
  <si>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</si>
  <si>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</si>
  <si>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</si>
  <si>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</si>
  <si>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</si>
  <si>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</si>
  <si>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</si>
  <si>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</si>
  <si>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</si>
  <si>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</si>
  <si>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</si>
  <si>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</si>
  <si>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Figures</t>
  </si>
  <si>
    <t>A1</t>
  </si>
  <si>
    <t>A2</t>
  </si>
  <si>
    <t>Other</t>
  </si>
  <si>
    <t>Year</t>
  </si>
  <si>
    <t>River Mouth Run Size</t>
  </si>
  <si>
    <t>na</t>
  </si>
  <si>
    <t>9.1-9.9%</t>
  </si>
  <si>
    <t>10.8-11.6%</t>
  </si>
  <si>
    <t>10.0-10.8%</t>
  </si>
  <si>
    <t>8.3-9.1%</t>
  </si>
  <si>
    <t>7.0-7.8%</t>
  </si>
  <si>
    <t>Table 3. 2018 Total Mainstem Spring Chinook Harvest and Release Mortalities</t>
  </si>
  <si>
    <t>Zone 6</t>
  </si>
  <si>
    <t>Snake</t>
  </si>
  <si>
    <t>Sport</t>
  </si>
  <si>
    <t>Total Non-treaty Impact</t>
  </si>
  <si>
    <t>Total Treaty Impact</t>
  </si>
  <si>
    <t>Upriver stocks</t>
  </si>
  <si>
    <t>Columbia</t>
  </si>
  <si>
    <t>Total</t>
  </si>
  <si>
    <t>River</t>
  </si>
  <si>
    <t>Comm.</t>
  </si>
  <si>
    <t>Non-Indian</t>
  </si>
  <si>
    <t>Treaty</t>
  </si>
  <si>
    <t>Mouth</t>
  </si>
  <si>
    <t>Snake River Wild</t>
  </si>
  <si>
    <t>Upper Columbia Wild</t>
  </si>
  <si>
    <t>Wanapum</t>
  </si>
  <si>
    <t>Table 4. 2018 Harvest Impact Details for Upper Columbia Summer Chinook</t>
  </si>
  <si>
    <t>Colville Tribal</t>
  </si>
  <si>
    <t>year</t>
  </si>
  <si>
    <t>Total nontreaty in-river</t>
  </si>
  <si>
    <t>Table 5 Upper Columbia Summer Chinook Harvest 2008-2018</t>
  </si>
  <si>
    <t>Table 6. 2018 Sockeye Harvest Accounting</t>
  </si>
  <si>
    <t>Zone 1-5</t>
  </si>
  <si>
    <t xml:space="preserve"> Table 4.  Snake River sockeye database.</t>
  </si>
  <si>
    <t>Z-6 Sport</t>
  </si>
  <si>
    <t>Z-6 Tribal</t>
  </si>
  <si>
    <t>Colville</t>
  </si>
  <si>
    <t>Total Non-Treaty</t>
  </si>
  <si>
    <t>Total Treaty</t>
  </si>
  <si>
    <t>Total Harvest</t>
  </si>
  <si>
    <t>Columbia River Sockeye</t>
  </si>
  <si>
    <t>Est. No. Snake River Sockeye total harvest mortality</t>
  </si>
  <si>
    <t>Snake River Sockeye</t>
  </si>
  <si>
    <t>Prop.</t>
  </si>
  <si>
    <t>Harvest</t>
  </si>
  <si>
    <t xml:space="preserve">Indian </t>
  </si>
  <si>
    <t>at</t>
  </si>
  <si>
    <t xml:space="preserve">Stanley </t>
  </si>
  <si>
    <t xml:space="preserve">Conversion </t>
  </si>
  <si>
    <t>Impacts</t>
  </si>
  <si>
    <t>BON</t>
  </si>
  <si>
    <t>Col R</t>
  </si>
  <si>
    <t>LWG</t>
  </si>
  <si>
    <t>Harvest Impact Rate</t>
  </si>
  <si>
    <t>Basin</t>
  </si>
  <si>
    <t>Through</t>
  </si>
  <si>
    <t>Run a_/</t>
  </si>
  <si>
    <t>Test Fishing Zone 1-5</t>
  </si>
  <si>
    <t>Zone 1-6</t>
  </si>
  <si>
    <t>Count</t>
  </si>
  <si>
    <t>Minimum Non-Snake Run b_/</t>
  </si>
  <si>
    <t>Max Snake R. Count c_/</t>
  </si>
  <si>
    <t>Sockeye</t>
  </si>
  <si>
    <t>Test Fishing</t>
  </si>
  <si>
    <t>Non-Indian Commercial Zone 1-5</t>
  </si>
  <si>
    <t>Non-Indian Sport Zone 1-5</t>
  </si>
  <si>
    <t>Treaty Zone 5</t>
  </si>
  <si>
    <t>Bonneville Run Size</t>
  </si>
  <si>
    <t>Zone 6 Sport</t>
  </si>
  <si>
    <t>Treaty Zone 6</t>
  </si>
  <si>
    <t>McN-H395 sport</t>
  </si>
  <si>
    <t>Escapement past Fisheries</t>
  </si>
  <si>
    <t>Ice Harbor Count</t>
  </si>
  <si>
    <t>Esc. e_/</t>
  </si>
  <si>
    <t>Test fish harvest rate</t>
  </si>
  <si>
    <t>Non-Treaty</t>
  </si>
  <si>
    <t>Total impact rate</t>
  </si>
  <si>
    <t>Return</t>
  </si>
  <si>
    <t>Salmon R.</t>
  </si>
  <si>
    <t>Table 2.  Harvest Mortalities on Sockeye in the Columbia River.</t>
  </si>
  <si>
    <t>Zones 1-5 Non-Indian (includes Select Area commercial)</t>
  </si>
  <si>
    <t>Zone 6 Treaty Indian</t>
  </si>
  <si>
    <t>Upper Columbia Harvest</t>
  </si>
  <si>
    <t>Non-Indian Total below BON</t>
  </si>
  <si>
    <t>Comm. Gillnet</t>
  </si>
  <si>
    <t>SAFE</t>
  </si>
  <si>
    <t>Sport  b,c_/</t>
  </si>
  <si>
    <t>+ tribs</t>
  </si>
  <si>
    <t xml:space="preserve"> Tribal Fisheries</t>
  </si>
  <si>
    <t>Kept</t>
  </si>
  <si>
    <t>Rel. mort</t>
  </si>
  <si>
    <t>Shad a_/</t>
  </si>
  <si>
    <t>Test Fishing (research)</t>
  </si>
  <si>
    <t>Below Bon Treaty</t>
  </si>
  <si>
    <t>C&amp;S Gillnet</t>
  </si>
  <si>
    <t>Platfom and H+L c_/d</t>
  </si>
  <si>
    <t xml:space="preserve"> Fall Season Comm. c_/</t>
  </si>
  <si>
    <t>Z 5-6       Treaty Total</t>
  </si>
  <si>
    <t>Mcn-H395 Sport</t>
  </si>
  <si>
    <t>H395-PRD Sport</t>
  </si>
  <si>
    <t>NT mainstem Sport above PRD</t>
  </si>
  <si>
    <t>Sport upstream of Wells only (subset)</t>
  </si>
  <si>
    <t>Yakima River Sport</t>
  </si>
  <si>
    <t>Wenatchee River Sport</t>
  </si>
  <si>
    <t>Okanagan Sport</t>
  </si>
  <si>
    <t>Similkameen Sport</t>
  </si>
  <si>
    <t>Lake Wenatchee Sport</t>
  </si>
  <si>
    <t>YN</t>
  </si>
  <si>
    <t>Deschutes Tribal Harvest</t>
  </si>
  <si>
    <t>No fishery</t>
  </si>
  <si>
    <t>Table 7. Sockeye Harvest 2008-2018</t>
  </si>
  <si>
    <t>Table 7 Sockeye Harvest 2008 - 2018</t>
  </si>
  <si>
    <t>1% allowed</t>
  </si>
  <si>
    <t>7% allowed</t>
  </si>
  <si>
    <t>Total Non-treaty Harvest (downstream of Snake)</t>
  </si>
  <si>
    <t>Total Treaty Harvest</t>
  </si>
  <si>
    <t>Total Harvest Downstream of Snake</t>
  </si>
  <si>
    <t>Total Non-treaty Harvest Rate</t>
  </si>
  <si>
    <t>Total Treaty harvest Rate</t>
  </si>
  <si>
    <r>
      <t>Total Non-treaty Harvest upstream of Snake R.</t>
    </r>
    <r>
      <rPr>
        <vertAlign val="superscript"/>
        <sz val="10"/>
        <color theme="1"/>
        <rFont val="Calibri"/>
        <family val="2"/>
      </rPr>
      <t>1</t>
    </r>
  </si>
  <si>
    <t>Total Non-treaty Harvest</t>
  </si>
  <si>
    <t xml:space="preserve">1.  Non-treaty harvest upstream of the Snake River is not included in the non-treaty harvest rate limit because it </t>
  </si>
  <si>
    <t>does not impact Snake River fish.</t>
  </si>
  <si>
    <t>2. Shaded cells indicate overage</t>
  </si>
  <si>
    <t>Wenatchee Sport</t>
  </si>
  <si>
    <t>Forecast</t>
  </si>
  <si>
    <t xml:space="preserve">Skamania </t>
  </si>
  <si>
    <t>Hatchery</t>
  </si>
  <si>
    <t>Group A Index</t>
  </si>
  <si>
    <t>Group B Index</t>
  </si>
  <si>
    <t xml:space="preserve">All Total </t>
  </si>
  <si>
    <r>
      <t>Table 9. Fall Season Steelhead Harvest Impacts 2008-2015</t>
    </r>
    <r>
      <rPr>
        <b/>
        <i/>
        <sz val="9"/>
        <color rgb="FF000000"/>
        <rFont val="Times New Roman"/>
        <family val="1"/>
      </rPr>
      <t>.</t>
    </r>
  </si>
  <si>
    <t>New Calculations take into acount dip-ins</t>
  </si>
  <si>
    <t>Hatchery A Steelhead</t>
  </si>
  <si>
    <r>
      <t>Fall Season Summer Steelhead Harvest and  Incidental Release Mortalities in Mainstem Columbia River Non-Indian Fisheries</t>
    </r>
    <r>
      <rPr>
        <b/>
        <vertAlign val="superscript"/>
        <sz val="8"/>
        <rFont val="Arial"/>
        <family val="2"/>
      </rPr>
      <t>1</t>
    </r>
  </si>
  <si>
    <r>
      <t xml:space="preserve">Recreational Bonneville -I-395 </t>
    </r>
    <r>
      <rPr>
        <vertAlign val="superscript"/>
        <sz val="8"/>
        <rFont val="Arial"/>
        <family val="2"/>
      </rPr>
      <t>3</t>
    </r>
  </si>
  <si>
    <r>
      <t xml:space="preserve">Dip In harvest </t>
    </r>
    <r>
      <rPr>
        <vertAlign val="superscript"/>
        <sz val="8"/>
        <rFont val="Times New Roman"/>
        <family val="1"/>
      </rPr>
      <t>3</t>
    </r>
  </si>
  <si>
    <t>from Nov-Dec</t>
  </si>
  <si>
    <t>NT Commercial</t>
  </si>
  <si>
    <t>Z 1-5 Sport</t>
  </si>
  <si>
    <t>Bonneville Dam Run</t>
  </si>
  <si>
    <t>Zone 6-Hwy 395 Sport</t>
  </si>
  <si>
    <t>Non-Treaty Harvest Rate</t>
  </si>
  <si>
    <t>Treaty Harvest Rate</t>
  </si>
  <si>
    <r>
      <t xml:space="preserve">Commercial  Below BONN </t>
    </r>
    <r>
      <rPr>
        <vertAlign val="superscript"/>
        <sz val="8"/>
        <rFont val="Arial"/>
        <family val="2"/>
      </rPr>
      <t>2</t>
    </r>
  </si>
  <si>
    <t>Recreational Below Bonn</t>
  </si>
  <si>
    <r>
      <t>Recreational BONN-395</t>
    </r>
    <r>
      <rPr>
        <vertAlign val="superscript"/>
        <sz val="8"/>
        <rFont val="Arial"/>
        <family val="2"/>
      </rPr>
      <t>3</t>
    </r>
  </si>
  <si>
    <t xml:space="preserve">Total Fall Season </t>
  </si>
  <si>
    <t>Kept Clipped Hatchery</t>
  </si>
  <si>
    <t>Released Unclipped</t>
  </si>
  <si>
    <t>Rel Hatchery</t>
  </si>
  <si>
    <t>Rel. Wild</t>
  </si>
  <si>
    <t>A-Index</t>
  </si>
  <si>
    <t>B-Index</t>
  </si>
  <si>
    <t>Group A</t>
  </si>
  <si>
    <t>Group B</t>
  </si>
  <si>
    <r>
      <t>Wild A Steelhead</t>
    </r>
    <r>
      <rPr>
        <vertAlign val="superscript"/>
        <sz val="8"/>
        <color theme="1"/>
        <rFont val="Calibri"/>
        <family val="2"/>
      </rPr>
      <t>1</t>
    </r>
  </si>
  <si>
    <r>
      <t xml:space="preserve">Treaty </t>
    </r>
    <r>
      <rPr>
        <vertAlign val="superscript"/>
        <sz val="8"/>
        <color theme="1"/>
        <rFont val="Calibri"/>
        <family val="2"/>
      </rPr>
      <t>1</t>
    </r>
  </si>
  <si>
    <t>1. From fisheries occuring Aug-Oct, except above BON includes Oct-Nov since 2015 . All steelhead considered Group A or Group B upriver summer steelhead.  Stock Composition and % wild based on BONN Dam sampling, LCR creel or on-board observation data. Data since 2014 is preliminary and all data is subject to change.</t>
  </si>
  <si>
    <t>2. Reflects incidental release mortalities (hatchery and wild)</t>
  </si>
  <si>
    <t>3.  Includes Dip-In mortalities</t>
  </si>
  <si>
    <r>
      <t>Table 3.3.44.   New Method Fall Season Summer Steelhead Harvest and  Incidental Release Mortalities in Mainstem Columbia River Non-Indian Fisheries</t>
    </r>
    <r>
      <rPr>
        <b/>
        <vertAlign val="superscript"/>
        <sz val="8"/>
        <rFont val="Arial"/>
        <family val="2"/>
      </rPr>
      <t>1</t>
    </r>
  </si>
  <si>
    <t>Table 4.4.46. Fall Season Tribal Zone 6 Steelhead Harvest (includes any B steelhead impacts in Drano Lake)</t>
  </si>
  <si>
    <t>Released Clipped Hatchery</t>
  </si>
  <si>
    <t>Clipped Hatchery</t>
  </si>
  <si>
    <t>Unclipped</t>
  </si>
  <si>
    <t>A Index Mainstem</t>
  </si>
  <si>
    <t>B Index Mainstem</t>
  </si>
  <si>
    <t>B Index Drano</t>
  </si>
  <si>
    <t>B Index Total</t>
  </si>
  <si>
    <t>Run Totals</t>
  </si>
  <si>
    <t>A</t>
  </si>
  <si>
    <t>B</t>
  </si>
  <si>
    <t>Clipped</t>
  </si>
  <si>
    <t>Unclpped</t>
  </si>
  <si>
    <t>Hatchery B Steelhead</t>
  </si>
  <si>
    <r>
      <t>Wild B Steelhead</t>
    </r>
    <r>
      <rPr>
        <vertAlign val="superscript"/>
        <sz val="8"/>
        <color theme="1"/>
        <rFont val="Calibri"/>
        <family val="2"/>
      </rPr>
      <t>1</t>
    </r>
  </si>
  <si>
    <t>08-16 Avg</t>
  </si>
  <si>
    <t>08-16 Max</t>
  </si>
  <si>
    <t>1. From fisheries occuring Aug-Dec. All steelhead considered A-Index or B-Index upriver summer steelhead.  Stock Composition and % unclipped based on Bonneville Dam sampling, LCR creel or on-board observation data. 2016 data are preliminary and all data are subject to change.</t>
  </si>
  <si>
    <t>2. Reflects incidental release mortalities (clipped and unclipped)</t>
  </si>
  <si>
    <t>3.  Includes Dip-In mortalities for B-Index steelhead  in Zone 6 tributaries. Kept catch based on Catch Record Cards.</t>
  </si>
  <si>
    <t>Table 8.  Fall Season Steelhead Harvest Impacts (Continued)</t>
  </si>
  <si>
    <t>Total B Steelhead</t>
  </si>
  <si>
    <t>Total Steelhead</t>
  </si>
  <si>
    <t>1. "Wild" catch includes all unclipped fish and is not adjusted for unclipped hatchery origin fish. This overestimates wild harvest rates.</t>
  </si>
  <si>
    <t>Table 8.  2017 Upriver Summer Steelhead Forecast and Returns.</t>
  </si>
  <si>
    <t>Date: 3/1/18</t>
  </si>
  <si>
    <t>hatchery b</t>
  </si>
  <si>
    <t>based on lgr/CR</t>
  </si>
  <si>
    <t>TAC 2018 Forecast of Upriver Summer Steelhead at Bonneville Dam</t>
  </si>
  <si>
    <t>Prelim</t>
  </si>
  <si>
    <t>Wild</t>
  </si>
  <si>
    <t>return</t>
  </si>
  <si>
    <t>Skamania</t>
  </si>
  <si>
    <t>Total Hatchery</t>
  </si>
  <si>
    <t>Clip Hatchery</t>
  </si>
  <si>
    <t>Unclip Hatchery</t>
  </si>
  <si>
    <t>A Index</t>
  </si>
  <si>
    <t>B Index</t>
  </si>
  <si>
    <t>Total A/B Index</t>
  </si>
  <si>
    <t>All summer steelhead</t>
  </si>
  <si>
    <t xml:space="preserve">Table 12. Preliminary Upriver Fall Chinook Harvest and Harvestable Shares 2008-2017 </t>
  </si>
  <si>
    <t>Table 13. Upriver Adult Coho Run Sizes and Harvest 2008-2018</t>
  </si>
  <si>
    <t>Run Year</t>
  </si>
  <si>
    <t>Actual</t>
  </si>
  <si>
    <t>2007-08</t>
  </si>
  <si>
    <t>2008-09</t>
  </si>
  <si>
    <t>2009-10</t>
  </si>
  <si>
    <t>2010-11</t>
  </si>
  <si>
    <t>2011-12</t>
  </si>
  <si>
    <t>2012-13</t>
  </si>
  <si>
    <t>2014-15</t>
  </si>
  <si>
    <t>2015-16</t>
  </si>
  <si>
    <t>2016-17</t>
  </si>
  <si>
    <t>Spawn Year</t>
  </si>
  <si>
    <t>Table 16. Treaty winter steelhead harvest In the Bonneville Pool (2008-2018)</t>
  </si>
  <si>
    <t>2017-18</t>
  </si>
  <si>
    <t>Table 18. Summer Season Steelhead Harvest in Treaty Mainstem Fisheries, 2008- 2018.</t>
  </si>
  <si>
    <t>Table 19. Treaty Mainstem Commercial Winter/Spring Season Harvest Upstream of the Dalles Dam 2008-2018.</t>
  </si>
  <si>
    <t>Table 22. Spring Season Summer Steelhead Harvest and Incidental Release Mortalities in WDFW Snake River Fisheries (April - Jun), 2008-2018.</t>
  </si>
  <si>
    <t>Summer Steelhead</t>
  </si>
  <si>
    <t>unclipped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</si>
  <si>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</si>
  <si>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</si>
  <si>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</si>
  <si>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</si>
  <si>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</si>
  <si>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</si>
  <si>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</si>
  <si>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</si>
  <si>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</si>
  <si>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</si>
  <si>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</si>
  <si>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</si>
  <si>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</si>
  <si>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</si>
  <si>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</si>
  <si>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</si>
  <si>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</si>
  <si>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</si>
  <si>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</si>
  <si>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</si>
  <si>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</si>
  <si>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Lower Columbia River Chinook</t>
  </si>
  <si>
    <t>Snake River Steelhead</t>
  </si>
  <si>
    <t>Mid Columbia River Steelhead</t>
  </si>
  <si>
    <t>Lower Columbia River Steelhead</t>
  </si>
  <si>
    <t>Lower Columbia River Coho</t>
  </si>
  <si>
    <t>Columbia River Chum</t>
  </si>
  <si>
    <t>Run Years</t>
  </si>
  <si>
    <t>Deschutes natural-origin steelhead</t>
  </si>
  <si>
    <t>John Day natural-origin steelhead</t>
  </si>
  <si>
    <t>Umatilla natural-origin steelhead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</si>
  <si>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</si>
  <si>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</si>
  <si>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</si>
  <si>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</si>
  <si>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</si>
  <si>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</si>
  <si>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</si>
  <si>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</si>
  <si>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</si>
  <si>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</si>
  <si>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</si>
  <si>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Lower Granite Dam count &amp; sampling data</t>
  </si>
  <si>
    <t>Abundance based on redd counts</t>
  </si>
  <si>
    <t>Abundance based on Sherars Falls</t>
  </si>
  <si>
    <t>Threemile Dam counts</t>
  </si>
  <si>
    <t>Klickitat natural-origin steelhead</t>
  </si>
  <si>
    <t>Methow River natural-origin steelhead</t>
  </si>
  <si>
    <t>Wenatchee River natural-origin steelhead</t>
  </si>
  <si>
    <t>2018-2019</t>
  </si>
  <si>
    <t>Lyle Falls (RM 2.4) mark-recapture estimate</t>
  </si>
  <si>
    <r>
      <t>Figure 1</t>
    </r>
    <r>
      <rPr>
        <i/>
        <sz val="11"/>
        <color rgb="FF000000"/>
        <rFont val="Times New Roman"/>
        <family val="1"/>
      </rPr>
      <t>. Natural Origin Snake spring/summer Chinook</t>
    </r>
  </si>
  <si>
    <r>
      <t>Figure 3</t>
    </r>
    <r>
      <rPr>
        <i/>
        <sz val="11"/>
        <color rgb="FF000000"/>
        <rFont val="Times New Roman"/>
        <family val="1"/>
      </rPr>
      <t>. Natural origin Washington Steelhead</t>
    </r>
  </si>
  <si>
    <r>
      <t>Figure 2</t>
    </r>
    <r>
      <rPr>
        <i/>
        <sz val="11"/>
        <color rgb="FF000000"/>
        <rFont val="Times New Roman"/>
        <family val="1"/>
      </rPr>
      <t>. Natural origin Upper Columbia spring Chinook</t>
    </r>
  </si>
  <si>
    <r>
      <t>Figure 4</t>
    </r>
    <r>
      <rPr>
        <i/>
        <sz val="11"/>
        <color rgb="FF000000"/>
        <rFont val="Times New Roman"/>
        <family val="1"/>
      </rPr>
      <t>. Natural origin Oregon Tributary Steelhead</t>
    </r>
  </si>
  <si>
    <r>
      <t>Figure 6</t>
    </r>
    <r>
      <rPr>
        <i/>
        <sz val="11"/>
        <color rgb="FF000000"/>
        <rFont val="Times New Roman"/>
        <family val="1"/>
      </rPr>
      <t>. Natural origin Fall Chinook</t>
    </r>
  </si>
  <si>
    <r>
      <t>Figure 5</t>
    </r>
    <r>
      <rPr>
        <i/>
        <sz val="11"/>
        <color rgb="FF000000"/>
        <rFont val="Times New Roman"/>
        <family val="1"/>
      </rPr>
      <t>. Natural origin Snake River Steelhead</t>
    </r>
  </si>
  <si>
    <r>
      <t>Figure 7</t>
    </r>
    <r>
      <rPr>
        <i/>
        <sz val="11"/>
        <color rgb="FF000000"/>
        <rFont val="Times New Roman"/>
        <family val="1"/>
      </rPr>
      <t>. Sockeye</t>
    </r>
  </si>
  <si>
    <t>Appendix 1. ESA Impact Report</t>
  </si>
  <si>
    <t xml:space="preserve">ESA Impact Report </t>
  </si>
  <si>
    <t>Treaty Indian Impact</t>
  </si>
  <si>
    <t>Non Treaty Impact</t>
  </si>
  <si>
    <t>Total Impact</t>
  </si>
  <si>
    <t>ESA Listed Group</t>
  </si>
  <si>
    <t>Limit</t>
  </si>
  <si>
    <t xml:space="preserve">Actual </t>
  </si>
  <si>
    <t>Snake River spring/ summer Chinook</t>
  </si>
  <si>
    <t>Upper Columbia River spring Chinook</t>
  </si>
  <si>
    <t>Willamette River spring Chinook</t>
  </si>
  <si>
    <t xml:space="preserve">Spring </t>
  </si>
  <si>
    <t>--</t>
  </si>
  <si>
    <t>footnote 2</t>
  </si>
  <si>
    <t xml:space="preserve">Fall tule </t>
  </si>
  <si>
    <r>
      <t xml:space="preserve">41.0% </t>
    </r>
    <r>
      <rPr>
        <vertAlign val="superscript"/>
        <sz val="8"/>
        <color rgb="FF000000"/>
        <rFont val="Times New Roman"/>
        <family val="1"/>
      </rPr>
      <t>3</t>
    </r>
  </si>
  <si>
    <t xml:space="preserve">Fall bright </t>
  </si>
  <si>
    <r>
      <t xml:space="preserve">5,700 goal </t>
    </r>
    <r>
      <rPr>
        <i/>
        <vertAlign val="superscript"/>
        <sz val="8"/>
        <color rgb="FF000000"/>
        <rFont val="Times New Roman"/>
        <family val="1"/>
      </rPr>
      <t>4</t>
    </r>
  </si>
  <si>
    <t>Snake River Fall Chinook</t>
  </si>
  <si>
    <t>Upper Columbia River steelhead</t>
  </si>
  <si>
    <t>winter/spring2017/+ 2016summer fisheries</t>
  </si>
  <si>
    <t>2017 fall fisheries</t>
  </si>
  <si>
    <t>Summer component (winter/spring2017/+ 2016summer fisheries)</t>
  </si>
  <si>
    <t>Summer Component (2017 fall fisheries)</t>
  </si>
  <si>
    <t>Winter Component (2017winter fisheries)</t>
  </si>
  <si>
    <t>Summer component (spring2017 fisheries)</t>
  </si>
  <si>
    <t>Summer Component (2017fall fisheries)</t>
  </si>
  <si>
    <t>Upper Willamette River steelhead</t>
  </si>
  <si>
    <t>1/ Rate may be up to 0.8% higher due to effects on non-treaty mark selective fisheries.</t>
  </si>
  <si>
    <t>2/ Managed for hatchery escapement goals</t>
  </si>
  <si>
    <t>3/ Combined exploitation rate for ccean and in-river mainstem fisheries</t>
  </si>
  <si>
    <t xml:space="preserve">4/ Managed for an escapement goal of 5,700 fish in the North Lewis River. </t>
  </si>
  <si>
    <t>5/B-Index impacts from non-Indian and treaty Indian fisheries are non-additive. Non-Indian impacts based on natural origin fish, treaty Indian impacts based on total B-Index (hatchery and natural origin)</t>
  </si>
  <si>
    <r>
      <t> </t>
    </r>
    <r>
      <rPr>
        <sz val="10"/>
        <color theme="1"/>
        <rFont val="Times New Roman"/>
        <family val="1"/>
      </rPr>
      <t>Escapement number?</t>
    </r>
  </si>
  <si>
    <t>Appendix 2. 2018 post season preliminary fall model summary sheet</t>
  </si>
  <si>
    <t>Table 20.b</t>
  </si>
  <si>
    <r>
      <t>U.S. v Oregon</t>
    </r>
    <r>
      <rPr>
        <b/>
        <sz val="8"/>
        <color theme="1"/>
        <rFont val="Times New Roman"/>
        <family val="1"/>
      </rPr>
      <t xml:space="preserve"> Abundance Indicator Stocks </t>
    </r>
    <r>
      <rPr>
        <i/>
        <sz val="8"/>
        <color theme="1"/>
        <rFont val="Times New Roman"/>
        <family val="1"/>
      </rPr>
      <t>(continued)</t>
    </r>
  </si>
  <si>
    <t>Baseline</t>
  </si>
  <si>
    <t>1988-2007</t>
  </si>
  <si>
    <t>Data source</t>
  </si>
  <si>
    <t>Group A-Index Snake River natural-origin  steelhead</t>
  </si>
  <si>
    <t xml:space="preserve"> linked to LGR Sthd tab</t>
  </si>
  <si>
    <t>IDFG</t>
  </si>
  <si>
    <t>Group B-Index Snake River natural-origin  steelhead</t>
  </si>
  <si>
    <t>Joseph Creek A-run steelhead</t>
  </si>
  <si>
    <t>Kostow</t>
  </si>
  <si>
    <t>906 is ratio of redd:Mark recapture from2011/12</t>
  </si>
  <si>
    <t>Maximum escapement values</t>
  </si>
  <si>
    <t>Murdoch, Andrew R (DFW)</t>
  </si>
  <si>
    <t>Table 2.1.49.  Middle Columbia River Steelhead DPS natural-origin spawner abundance estimates for the populations with data available</t>
  </si>
  <si>
    <t>Sherars Falls</t>
  </si>
  <si>
    <t>JohnDay</t>
  </si>
  <si>
    <t>Deschutes River Eastside2</t>
  </si>
  <si>
    <t>Deschutes River Westside2</t>
  </si>
  <si>
    <t>John Day River Lower2</t>
  </si>
  <si>
    <t>John Day River Upper2</t>
  </si>
  <si>
    <t>North Fork John Day River2</t>
  </si>
  <si>
    <t>Middle Fork John Day River2</t>
  </si>
  <si>
    <t>South Fork John Day River2</t>
  </si>
  <si>
    <t>Umatilla River2</t>
  </si>
  <si>
    <t>Walla Walla River2</t>
  </si>
  <si>
    <t>Klickitat River1,3</t>
  </si>
  <si>
    <t>Naches River1</t>
  </si>
  <si>
    <t>Satus Creek1</t>
  </si>
  <si>
    <t>Toppenish Creek1</t>
  </si>
  <si>
    <t>Yakima Upstream1</t>
  </si>
  <si>
    <t>n/a</t>
  </si>
  <si>
    <t>October</t>
  </si>
  <si>
    <t>September</t>
  </si>
  <si>
    <t>August</t>
  </si>
  <si>
    <t>July</t>
  </si>
  <si>
    <t>June</t>
  </si>
  <si>
    <t>1,290**</t>
  </si>
  <si>
    <t>1,111**</t>
  </si>
  <si>
    <t>2,483**</t>
  </si>
  <si>
    <t>1,063**</t>
  </si>
  <si>
    <t>1,222**</t>
  </si>
  <si>
    <t>2,956**</t>
  </si>
  <si>
    <r>
      <t>3</t>
    </r>
    <r>
      <rPr>
        <sz val="8"/>
        <color rgb="FF000000"/>
        <rFont val="Calibri"/>
        <family val="2"/>
      </rPr>
      <t>Estimates combine both summer and winter counts</t>
    </r>
  </si>
  <si>
    <t xml:space="preserve">**Source for 2009-2014 data: TAC (2015). Data is verified using mark-recapture estimates at Lyle Falls. </t>
  </si>
  <si>
    <t xml:space="preserve"> (from WDFW SCORE1 and ODFW Salmon &amp; Steelhead Recovery Tracker2)</t>
  </si>
  <si>
    <t xml:space="preserve">Table 2.1.53. UCR Steelhead DPS natural-origin spawner abundance estimates for each of the four populations </t>
  </si>
  <si>
    <t>Entiat River</t>
  </si>
  <si>
    <t>Methow River</t>
  </si>
  <si>
    <t>Okanogan River</t>
  </si>
  <si>
    <t>Wenatchee River</t>
  </si>
  <si>
    <t>(from WDFW SCORE1)</t>
  </si>
  <si>
    <t>*Date Accessed: April 25, 2016</t>
  </si>
  <si>
    <t>Table 2.3.6. Summer steelhead index escapement groups</t>
  </si>
  <si>
    <t>LGR Count A-Index Snake River natural origin steelhead</t>
  </si>
  <si>
    <t>LGR Count B-Index Snake River natural origin steelhead</t>
  </si>
  <si>
    <t>Joseph Creek natural origin steelhead</t>
  </si>
  <si>
    <t>Deschutes natural origin steelhead</t>
  </si>
  <si>
    <t>John Day natural origin steelhead</t>
  </si>
  <si>
    <t>1988-2007 Baseline Avg</t>
  </si>
  <si>
    <t xml:space="preserve">08-16 avg. </t>
  </si>
  <si>
    <t>1. At LGR unclipped hatchery fish are estimated, hence the natural origin estmate does not include unclipped hatchery fish.</t>
  </si>
  <si>
    <t>https://fortress.wa.gov/dfw/score/score/species/population_details.jsp?stockId=6896</t>
  </si>
  <si>
    <t>Table 2.3.8. Abundance indicator stocks for summer steelhead</t>
  </si>
  <si>
    <t>Methow summer steelhead</t>
  </si>
  <si>
    <t>Wenatchee summer steelhead</t>
  </si>
  <si>
    <t>Umatilla natural origin steelhead 1</t>
  </si>
  <si>
    <t>Klickitat natural origin steelhead based on redd counts 2</t>
  </si>
  <si>
    <t>Klickitat natural origin steelhead based on Mark &amp; Recapture 3</t>
  </si>
  <si>
    <t>Methow River natural origin steelhead 4</t>
  </si>
  <si>
    <t>Wenatchee River natural origin steelhead 4</t>
  </si>
  <si>
    <t>ear</t>
  </si>
  <si>
    <t>1. Natural-Origin Spawners</t>
  </si>
  <si>
    <t>2. Hatchery-Origin Spawners</t>
  </si>
  <si>
    <t>3. Natural-Origin Spawners</t>
  </si>
  <si>
    <t>1. Three Mile Dam Counts</t>
  </si>
  <si>
    <t>2. Redd Counts</t>
  </si>
  <si>
    <t>3. Lyle Falls Mark/Recapture Estimate</t>
  </si>
  <si>
    <t>4. Maximum Spawning Escapement</t>
  </si>
  <si>
    <t>Non Indian Impact</t>
  </si>
  <si>
    <r>
      <t xml:space="preserve">10.0% </t>
    </r>
    <r>
      <rPr>
        <vertAlign val="superscript"/>
        <sz val="10"/>
        <color theme="1"/>
        <rFont val="Times New Roman"/>
        <family val="1"/>
      </rPr>
      <t>1</t>
    </r>
  </si>
  <si>
    <t>Willamette River spring  Chinook</t>
  </si>
  <si>
    <r>
      <t xml:space="preserve">41.0% </t>
    </r>
    <r>
      <rPr>
        <vertAlign val="superscript"/>
        <sz val="10"/>
        <color theme="1"/>
        <rFont val="Times New Roman"/>
        <family val="1"/>
      </rPr>
      <t>3</t>
    </r>
  </si>
  <si>
    <r>
      <t>Fall bright</t>
    </r>
    <r>
      <rPr>
        <sz val="10"/>
        <color theme="1"/>
        <rFont val="Times New Roman"/>
        <family val="1"/>
      </rPr>
      <t xml:space="preserve"> </t>
    </r>
  </si>
  <si>
    <r>
      <t xml:space="preserve">5,700 goal </t>
    </r>
    <r>
      <rPr>
        <i/>
        <vertAlign val="superscript"/>
        <sz val="10"/>
        <color theme="1"/>
        <rFont val="Times New Roman"/>
        <family val="1"/>
      </rPr>
      <t>4</t>
    </r>
  </si>
  <si>
    <t>A-Run (winter/spring/summer fisheries)</t>
  </si>
  <si>
    <r>
      <t>B-Run (winter/spring/summer fisheries)</t>
    </r>
    <r>
      <rPr>
        <vertAlign val="superscript"/>
        <sz val="10"/>
        <color theme="1"/>
        <rFont val="Times New Roman"/>
        <family val="1"/>
      </rPr>
      <t xml:space="preserve"> </t>
    </r>
  </si>
  <si>
    <t>A-Run (fall fisheries</t>
  </si>
  <si>
    <t xml:space="preserve">B-Run (fall fisheries) </t>
  </si>
  <si>
    <r>
      <t xml:space="preserve">20% </t>
    </r>
    <r>
      <rPr>
        <vertAlign val="superscript"/>
        <sz val="10"/>
        <color theme="1"/>
        <rFont val="Times New Roman"/>
        <family val="1"/>
      </rPr>
      <t>5</t>
    </r>
  </si>
  <si>
    <t>winter/spring/summer fisheries</t>
  </si>
  <si>
    <t>fall fisheries</t>
  </si>
  <si>
    <t>Summer component (winter/spring/summer fisheries)</t>
  </si>
  <si>
    <t>Summer Component (fall fisheries)</t>
  </si>
  <si>
    <t>Winter Component (winter fisheries)</t>
  </si>
  <si>
    <t>4/ Managed for an escapement goal of 5,700 fish in the North Lewis River. 2011 escapement = 8,000 adults</t>
  </si>
  <si>
    <t>5/Group B impacts from non-Indian and treaty Indian fisheries are non-additive.  Non-Indian impacts based on natural origin (wild) fish, treaty Indian impacts based on total B-Run (hatchery and wild)</t>
  </si>
  <si>
    <r>
      <t xml:space="preserve">8.3% </t>
    </r>
    <r>
      <rPr>
        <vertAlign val="superscript"/>
        <sz val="8"/>
        <color rgb="FF000000"/>
        <rFont val="Times New Roman"/>
        <family val="1"/>
      </rPr>
      <t>1</t>
    </r>
  </si>
  <si>
    <t xml:space="preserve">  </t>
  </si>
  <si>
    <t>1/9%</t>
  </si>
  <si>
    <r>
      <t>B-Run (winter/spring/summer fisheries)</t>
    </r>
    <r>
      <rPr>
        <vertAlign val="superscript"/>
        <sz val="8"/>
        <color rgb="FF000000"/>
        <rFont val="Times New Roman"/>
        <family val="1"/>
      </rPr>
      <t xml:space="preserve"> </t>
    </r>
  </si>
  <si>
    <r>
      <t xml:space="preserve">13% </t>
    </r>
    <r>
      <rPr>
        <vertAlign val="superscript"/>
        <sz val="8"/>
        <color rgb="FF000000"/>
        <rFont val="Times New Roman"/>
        <family val="1"/>
      </rPr>
      <t>5</t>
    </r>
  </si>
  <si>
    <t>1/ Rate may be up to 0.8% higher due to effects on Non-Indian mark selective fisheries.</t>
  </si>
  <si>
    <t>2/ Managed for hatchery escapement goals(goal inside parenthesis): 2012 escapements = Cowlitz River Hatchery (1,200) 5,589; Lewis River Hatchery (1,300) 2,532; Kalama Falls Hatchery (400) 285; Sandy River Hatchery (200)</t>
  </si>
  <si>
    <t>3/ Combined exploitation rate for ccean and in-river mainstem fisheries.  2012 rate downgraded post season from 41%</t>
  </si>
  <si>
    <t>4/ Managed for an escapement goal of 5,700 fish in the North Lewis River. 2012 escapement = 8,100 adults</t>
  </si>
  <si>
    <r>
      <t xml:space="preserve">9.1% </t>
    </r>
    <r>
      <rPr>
        <vertAlign val="superscript"/>
        <sz val="10"/>
        <color theme="1"/>
        <rFont val="Times New Roman"/>
        <family val="1"/>
      </rPr>
      <t>1</t>
    </r>
  </si>
  <si>
    <r>
      <t xml:space="preserve">38.0% </t>
    </r>
    <r>
      <rPr>
        <vertAlign val="superscript"/>
        <sz val="10"/>
        <color theme="1"/>
        <rFont val="Times New Roman"/>
        <family val="1"/>
      </rPr>
      <t>3</t>
    </r>
  </si>
  <si>
    <r>
      <t xml:space="preserve">15% </t>
    </r>
    <r>
      <rPr>
        <vertAlign val="superscript"/>
        <sz val="10"/>
        <color theme="1"/>
        <rFont val="Times New Roman"/>
        <family val="1"/>
      </rPr>
      <t>5</t>
    </r>
  </si>
  <si>
    <r>
      <t xml:space="preserve">10.8% </t>
    </r>
    <r>
      <rPr>
        <vertAlign val="superscript"/>
        <sz val="10"/>
        <color theme="1"/>
        <rFont val="Times New Roman"/>
        <family val="1"/>
      </rPr>
      <t>1</t>
    </r>
  </si>
  <si>
    <t>Natural Origin adult escapement in Snake River Basins</t>
  </si>
  <si>
    <t>1988 - 2007 used as US v OR baseline</t>
  </si>
  <si>
    <t>Wild Snake River Spring Chinook</t>
  </si>
  <si>
    <t xml:space="preserve">Summary </t>
  </si>
  <si>
    <t>OREGON Populations</t>
  </si>
  <si>
    <t>IDAHO populations</t>
  </si>
  <si>
    <t>TOTAL</t>
  </si>
  <si>
    <t>Oregon</t>
  </si>
  <si>
    <t>Idaho</t>
  </si>
  <si>
    <t>Minam</t>
  </si>
  <si>
    <t>Wenaha</t>
  </si>
  <si>
    <t>Catherine</t>
  </si>
  <si>
    <t>Lostine</t>
  </si>
  <si>
    <t>UPR Grand</t>
  </si>
  <si>
    <t>Imnaha</t>
  </si>
  <si>
    <t>Bear Valley Cr</t>
  </si>
  <si>
    <t>Marsh</t>
  </si>
  <si>
    <t>Sulphur</t>
  </si>
  <si>
    <t>Big Cr</t>
  </si>
  <si>
    <t xml:space="preserve">Sf Salmon </t>
  </si>
  <si>
    <t>Table 18 ESA Impact Report</t>
  </si>
  <si>
    <t>Calendar Year 2016</t>
  </si>
  <si>
    <r>
      <t xml:space="preserve">11.8% </t>
    </r>
    <r>
      <rPr>
        <vertAlign val="superscript"/>
        <sz val="10"/>
        <color theme="1"/>
        <rFont val="Times New Roman"/>
        <family val="1"/>
      </rPr>
      <t>1</t>
    </r>
  </si>
  <si>
    <t>Run Year 2015-2016</t>
  </si>
  <si>
    <t>T18,19,20</t>
  </si>
  <si>
    <t>A-Index (winter/spring2016/+ 2015summer fisheries)</t>
  </si>
  <si>
    <r>
      <t>B-Index (winter/spring2016/+ 2015summer fisheries)</t>
    </r>
    <r>
      <rPr>
        <vertAlign val="superscript"/>
        <sz val="10"/>
        <color theme="1"/>
        <rFont val="Times New Roman"/>
        <family val="1"/>
      </rPr>
      <t xml:space="preserve"> </t>
    </r>
  </si>
  <si>
    <t>A-Index (2015fall fisheries)</t>
  </si>
  <si>
    <r>
      <t>B-Index (2015fall fisheries)</t>
    </r>
    <r>
      <rPr>
        <vertAlign val="superscript"/>
        <sz val="10"/>
        <color theme="1"/>
        <rFont val="Times New Roman"/>
        <family val="1"/>
      </rPr>
      <t xml:space="preserve"> </t>
    </r>
  </si>
  <si>
    <t>T18,20</t>
  </si>
  <si>
    <t>winter/spring2016/+ 2015summer fisheries</t>
  </si>
  <si>
    <t>link to SR A-Index</t>
  </si>
  <si>
    <t>2015fall fisheries</t>
  </si>
  <si>
    <t>link to Ucsthd</t>
  </si>
  <si>
    <t>Summer component (winter/spring2016/+ 2015summer fisheries)</t>
  </si>
  <si>
    <t>Summer Component (2015fall fisheries)</t>
  </si>
  <si>
    <t>Winter Component (2016winter fisheries)</t>
  </si>
  <si>
    <t>Summer component (spring2015 fisheries)</t>
  </si>
  <si>
    <t>What is this?</t>
  </si>
  <si>
    <t>5/B-Index impacts from non-Indian and treaty Indian fisheries are non-additive.  Non-Indian impacts based on natural origin fish, treaty Indian impacts based on total B-Index (hatchery and wild)</t>
  </si>
  <si>
    <t>From IDFG adjusted LGR Steelhead counts_TAC.xlxs</t>
  </si>
  <si>
    <t>Large = "B" fish &gt;= 78cm</t>
  </si>
  <si>
    <t>Small = "A" fish &lt; 78 cm</t>
  </si>
  <si>
    <t>AB last update:</t>
  </si>
  <si>
    <t>assignments based on sampling at LGR.</t>
  </si>
  <si>
    <t>Run Year = July 1 to June 30.</t>
  </si>
  <si>
    <t>Adult Steelhead return to Lower Granite Dam (entire Run Year)</t>
  </si>
  <si>
    <t>includes unclipped fish</t>
  </si>
  <si>
    <t>Pro "B" smolt released</t>
  </si>
  <si>
    <t>Table 2.2.14. Wild and Hatchery Run Sizes at Lower Granite Dam (July 1-June 30)</t>
  </si>
  <si>
    <t xml:space="preserve">Small Wild </t>
  </si>
  <si>
    <t>Small  clipped Hatchery</t>
  </si>
  <si>
    <t>Small Unclipped Hatchery</t>
  </si>
  <si>
    <t>Total Small</t>
  </si>
  <si>
    <t xml:space="preserve">Large Wild </t>
  </si>
  <si>
    <t>Large  clipped Hatchery</t>
  </si>
  <si>
    <t>Large Unclipped Hatchery</t>
  </si>
  <si>
    <t>Total Large</t>
  </si>
  <si>
    <t>Total run</t>
  </si>
  <si>
    <t>Total wild origin</t>
  </si>
  <si>
    <t>Total hatchery origin</t>
  </si>
  <si>
    <t>Small hatchery origin</t>
  </si>
  <si>
    <t>Large hatchery origin</t>
  </si>
  <si>
    <t>Dwor smolts released RunYear-2</t>
  </si>
  <si>
    <t>Natural Origin A-Index</t>
  </si>
  <si>
    <t>Natural Origin B-Index</t>
  </si>
  <si>
    <t>Total Natural Origin</t>
  </si>
  <si>
    <t>A-Index Hatchery</t>
  </si>
  <si>
    <t>B-Index Hatchery</t>
  </si>
  <si>
    <t>Total Run</t>
  </si>
  <si>
    <t>% Natural Origin</t>
  </si>
  <si>
    <t>2010 - 11</t>
  </si>
  <si>
    <t>2013 - 14</t>
  </si>
  <si>
    <t>2010-14</t>
  </si>
  <si>
    <t>88-07 avg</t>
  </si>
  <si>
    <t>Data FromTAC's Steelhead Forecast File</t>
  </si>
  <si>
    <t>Returns of Upriver Summer Steelhead to Bonneville Dam</t>
  </si>
  <si>
    <t>Skamania Index</t>
  </si>
  <si>
    <t>Group A B Combined</t>
  </si>
  <si>
    <t>Grand total</t>
  </si>
  <si>
    <t>% Wild</t>
  </si>
  <si>
    <t>Group A -B</t>
  </si>
  <si>
    <t>Combined</t>
  </si>
  <si>
    <t>BonYear</t>
  </si>
  <si>
    <t>Management Period</t>
  </si>
  <si>
    <t>Strata Option</t>
  </si>
  <si>
    <t>Small Hatchery passage</t>
  </si>
  <si>
    <t>Small Hatchery Unclip Passage</t>
  </si>
  <si>
    <t>Small Wild Passage</t>
  </si>
  <si>
    <t>Big Hatchery Passage</t>
  </si>
  <si>
    <t>Big Hatchery Unclip Passage</t>
  </si>
  <si>
    <t>Big Wild passage</t>
  </si>
  <si>
    <t>Upriver A/B -- July 1 to October 31</t>
  </si>
  <si>
    <t>Commercial (includes Select Areas)</t>
  </si>
  <si>
    <t>Upper Columbia Sport (upstream of Snake)</t>
  </si>
  <si>
    <t>Table 8. 2018 Upriver Summer Steelhead Forecast and Returns to Bonneville Dam</t>
  </si>
  <si>
    <t>Table 10. 2016-2018 Fall Season Steelhead Harvest</t>
  </si>
  <si>
    <t>Natural Origin</t>
  </si>
  <si>
    <t>Calendar Year 2018</t>
  </si>
  <si>
    <t>Run Year 2017-2018</t>
  </si>
  <si>
    <r>
      <t xml:space="preserve">10.0% </t>
    </r>
    <r>
      <rPr>
        <vertAlign val="superscript"/>
        <sz val="8"/>
        <color rgb="FF000000"/>
        <rFont val="Times New Roman"/>
        <family val="1"/>
      </rPr>
      <t>1</t>
    </r>
  </si>
  <si>
    <t>A-Index (winter/spring2018/+ 2017summer fisheries)</t>
  </si>
  <si>
    <r>
      <t>B-Index (winter/spring2018/+ 2017summer fisheries)</t>
    </r>
    <r>
      <rPr>
        <vertAlign val="superscript"/>
        <sz val="8"/>
        <color rgb="FF000000"/>
        <rFont val="Times New Roman"/>
        <family val="1"/>
      </rPr>
      <t xml:space="preserve"> </t>
    </r>
  </si>
  <si>
    <t>A-Index (2018 fall fisheries)</t>
  </si>
  <si>
    <r>
      <t>B-Index (2018 fall fisheries)</t>
    </r>
    <r>
      <rPr>
        <vertAlign val="superscript"/>
        <sz val="8"/>
        <color rgb="FF000000"/>
        <rFont val="Times New Roman"/>
        <family val="1"/>
      </rPr>
      <t xml:space="preserve"> </t>
    </r>
  </si>
  <si>
    <t>Total hatchery and natural B-Index (2018 fal fisheries</t>
  </si>
  <si>
    <t>Will fill in from T10</t>
  </si>
  <si>
    <t>Will fill in from T9</t>
  </si>
  <si>
    <t>2008 - 2018  A and B == new TAC methodolgy</t>
  </si>
  <si>
    <t>prior to 2008 Wild likely includes unclipped hatchery fish</t>
  </si>
  <si>
    <t>% wild B</t>
  </si>
  <si>
    <t>% of A</t>
  </si>
  <si>
    <t>% of B</t>
  </si>
  <si>
    <t xml:space="preserve"> A Index</t>
  </si>
  <si>
    <t xml:space="preserve"> B Index</t>
  </si>
  <si>
    <t>Total A B Index Return</t>
  </si>
  <si>
    <t xml:space="preserve">TOTAL </t>
  </si>
  <si>
    <t>total return</t>
  </si>
  <si>
    <t>of total</t>
  </si>
  <si>
    <t>Rank</t>
  </si>
  <si>
    <t>hatch</t>
  </si>
  <si>
    <t>H-clip</t>
  </si>
  <si>
    <t>HNC</t>
  </si>
  <si>
    <t>All Hatch</t>
  </si>
  <si>
    <t>RETURN</t>
  </si>
  <si>
    <t>% B</t>
  </si>
  <si>
    <t>total B</t>
  </si>
  <si>
    <t>3yr avg</t>
  </si>
  <si>
    <t>5yr avg</t>
  </si>
  <si>
    <t>10yr avg</t>
  </si>
  <si>
    <t>Wind River Steelhead</t>
  </si>
  <si>
    <t>winter/spring fisheries</t>
  </si>
  <si>
    <t>Hood River steelhead</t>
  </si>
  <si>
    <t>Hood River Spring Chinook</t>
  </si>
  <si>
    <t>Klickitat River Steelhead</t>
  </si>
  <si>
    <t>Deschutes River Steelhead</t>
  </si>
  <si>
    <t>John Day Steelhead</t>
  </si>
  <si>
    <t>Umatilla Steelhead</t>
  </si>
  <si>
    <t>Yakima River Steelhead</t>
  </si>
  <si>
    <t>Walla Walla River Steelhead</t>
  </si>
  <si>
    <t>Icicle Creek Steelhead</t>
  </si>
  <si>
    <t xml:space="preserve">3/ </t>
  </si>
  <si>
    <t xml:space="preserve">4/ </t>
  </si>
  <si>
    <t>5/</t>
  </si>
  <si>
    <t>Annual Fisheries</t>
  </si>
  <si>
    <t>1/ Allowed Rates based on three year averages. Actual Rates are based on most recent year available.</t>
  </si>
  <si>
    <t>Appendix 1b. ESA Impact Report</t>
  </si>
  <si>
    <t xml:space="preserve">4/ Managed for an escapement goal of 5,700 fish in the North Fork Lewis River. </t>
  </si>
  <si>
    <r>
      <t xml:space="preserve">Year </t>
    </r>
    <r>
      <rPr>
        <vertAlign val="superscript"/>
        <sz val="8"/>
        <color rgb="FF000000"/>
        <rFont val="Times New Roman"/>
        <family val="1"/>
      </rPr>
      <t>2</t>
    </r>
  </si>
  <si>
    <t>2/ Latest Year Harvest and/or run size data are available for impact calculations</t>
  </si>
  <si>
    <t>Spring fisheries)</t>
  </si>
  <si>
    <t>no records of harvest</t>
  </si>
  <si>
    <t>T49</t>
  </si>
  <si>
    <t>T50</t>
  </si>
  <si>
    <t>Table 25. Treaty Steelhead Impacts in Drano Lake</t>
  </si>
  <si>
    <t>Table 26. Treaty Spring Chinook Harvest in the Hood River</t>
  </si>
  <si>
    <t>Table 27. Treaty Natural Origin Steelhead Harvest in the Klickitat River</t>
  </si>
  <si>
    <t>Table 28. Treaty Steehead Harvest in the Deschutes River</t>
  </si>
  <si>
    <t>Table 29. Treaty Steelhead Harvest in the Umatilla River</t>
  </si>
  <si>
    <t>Table 30. Treaty Natural Origin Steelhead Harvest in the Yakima River</t>
  </si>
  <si>
    <t>Table 31. Treaty Natural Origin Steelhead Harvest in Icicle Creek.</t>
  </si>
  <si>
    <t>Table 32. Number of fish handled, number killed, and mortality rate of Chinook, Sockeye, and steelhead sampled at the AFF from 2008 to 2018.</t>
  </si>
  <si>
    <t>Table 33. Actual impact rates for RM&amp;E Bonneville Dam AFF related activities on Listed Chinook (2008-2018).</t>
  </si>
  <si>
    <t>Table 34. Actual impact rates for RM&amp;E Bonneville Dam AFF related activities on Listed Steelhead (2008-2017).</t>
  </si>
  <si>
    <t>Table 35. Actual impact rates for RM&amp;E Bonneville Dam AFF related activities on Listed Coho, Chum, Sockeye, Green Sturgeon, and Bull Trout (2008-2018)</t>
  </si>
  <si>
    <t>Table 36. Actual impact rates for RM&amp;E Test fishery related activities on Listed Chinook (2008-2017).</t>
  </si>
  <si>
    <t>Table 37. Actual impact rates for RM&amp;E test fishery related activities on listed steelhead (2008-2018).</t>
  </si>
  <si>
    <t>Table 38. Actual impact rates for RM&amp;E test fishery related activities on listed coho, chum, sockeye, green sturgeon, and bull trout (2000-2017)</t>
  </si>
  <si>
    <t>Table 39. Actual impact rates for RM&amp;E white sturgeon related activities on listed Chinook (2008-2017).</t>
  </si>
  <si>
    <t>Table 40. Actual impact rates for RM&amp;E white sturgeon related activities on listed steelhead (2008-2018).</t>
  </si>
  <si>
    <t>Table 41. Actual impact rates for RM&amp;E white sturgeon related activities on listed coho, chum, sockeye, green sturgeon, and bull trout (2008-2018)</t>
  </si>
  <si>
    <t>Table 43. Actual impact rates across all RM&amp;E activities on listed Chinook (2008-2018)</t>
  </si>
  <si>
    <t>Table 44. Actual impact rates across all RM&amp;E activities on listed steelhead (2008-2018)</t>
  </si>
  <si>
    <t>Table 45. Actual impact rates across all RM&amp;E activities on listed coho, chum, sockeye, green sturgeon, and bull trout (2008-2017)</t>
  </si>
  <si>
    <t>Table 46. U.S. v. Oregon Harvest Indicator Stocks</t>
  </si>
  <si>
    <t>Table 47. Abundance Indicator Stocks- Spring and Chinook</t>
  </si>
  <si>
    <t>Table 49. Abundance Indicator Stocks - Snake River and Oregon Steelhead</t>
  </si>
  <si>
    <t>3/ Combined exploitation rate for ocean and in-river mainstem fisheries</t>
  </si>
  <si>
    <t>Winter Component</t>
  </si>
  <si>
    <t xml:space="preserve">Summer component </t>
  </si>
  <si>
    <t>Total For All Activities</t>
  </si>
  <si>
    <t>ucrw_rm_run_sz</t>
  </si>
  <si>
    <t>nt_impacts_ucrw</t>
  </si>
  <si>
    <t>treat_impacts_ucrw</t>
  </si>
  <si>
    <t>allwd_nt_harv_rt</t>
  </si>
  <si>
    <t>allwd_treat_wild_harv_rt</t>
  </si>
  <si>
    <t>comb_tot_alwd_wild_harv_rt</t>
  </si>
  <si>
    <t>act_nt_wild_harv_rt</t>
  </si>
  <si>
    <t>act_tot_wild_harv_rt</t>
  </si>
  <si>
    <t>act_treat_wild_harv_rt</t>
  </si>
  <si>
    <t>Table 9. Fall Season Steelhead Harvest Impacts 2008-2015.</t>
  </si>
  <si>
    <t xml:space="preserve">Table 11. Harvest Rates for URBs and Snake River Natural Origin Fall Chinook 2008-2018. </t>
  </si>
  <si>
    <t>Table 14. Winter steelhead harvest and incidental release mortalities in mainstem Columbia River non-treaty fisheries, 2008-2018.1</t>
  </si>
  <si>
    <t>Table 15. Winter Steelhead harvest in mainstem Columbia River Zone 6 treaty Indian commercial, winter seasons (generally February 1 - March 21), 2008 - 2018.</t>
  </si>
  <si>
    <t>Table 17. Skamania Steelhead harvest in mainstem Columbia River Zone 6 treaty Indian spring seasons (generally March 22 - June 15 for 2008-16), 2008 - 2018.</t>
  </si>
  <si>
    <t>Table 20. Winter/spring season summer steelhead harvest and incidental release mortalities on Skamania steelhead in mainstem Columbia River non-treaty fisheries, 2008-2018 1</t>
  </si>
  <si>
    <t>Table 21. Winter/Spring Season Summer Steelhead Harvest and Incidental Release Mortalities in Upriver Mainstem Columbia River Non-Treaty Fisheries upstream of The Dalles Dam (Jan- Jun), 2008 - 2018.1</t>
  </si>
  <si>
    <t>Table 23a. Summer Management Period A-Index Summer Steelhead Harvest and Incidental Release Mortalities in Mainstem Columbia River Non-Treaty Fisheries (July), 2008-2018.1</t>
  </si>
  <si>
    <t>Table 24. Treaty Steelhead Harvest in the Wind River</t>
  </si>
  <si>
    <t>snkw_rm_run_sz</t>
  </si>
  <si>
    <t>treat_impacts_snkw</t>
  </si>
  <si>
    <t>nt_impacts_snkw</t>
  </si>
  <si>
    <t>Lower Columbia and Willamette</t>
  </si>
  <si>
    <t>stock</t>
  </si>
  <si>
    <t>wan_tribl</t>
  </si>
  <si>
    <t>snk_sport</t>
  </si>
  <si>
    <t>tot_harv_imp</t>
  </si>
  <si>
    <t>nt_comm_mainst_z1_5</t>
  </si>
  <si>
    <t>comm_select_area_z1_5</t>
  </si>
  <si>
    <t>sport_z1_5</t>
  </si>
  <si>
    <t>sport_select_area_z1_5</t>
  </si>
  <si>
    <t>test_z1_5</t>
  </si>
  <si>
    <t>treat_tibal_z1_5</t>
  </si>
  <si>
    <t>sport_Z_6</t>
  </si>
  <si>
    <t>treat_trib_Z_6</t>
  </si>
  <si>
    <t>pfmc_nt_sprt_comm</t>
  </si>
  <si>
    <t>nt_comm</t>
  </si>
  <si>
    <t>sport</t>
  </si>
  <si>
    <t>treaty</t>
  </si>
  <si>
    <t>z6_treaty</t>
  </si>
  <si>
    <t>ucr_sport</t>
  </si>
  <si>
    <t>sport_bon_prd</t>
  </si>
  <si>
    <t>wan_trt</t>
  </si>
  <si>
    <t>col_trt</t>
  </si>
  <si>
    <t>tot_harv</t>
  </si>
  <si>
    <t>pfmc_ocean_abund</t>
  </si>
  <si>
    <t>pfmc_nt_harvest</t>
  </si>
  <si>
    <t>rm_run_sz</t>
  </si>
  <si>
    <t>tot_nt_inriv_impacts</t>
  </si>
  <si>
    <t>tot_nt_impacts</t>
  </si>
  <si>
    <t>tot_treaty_impacts</t>
  </si>
  <si>
    <t>allowed_harvest</t>
  </si>
  <si>
    <t>allowed_harv_rt</t>
  </si>
  <si>
    <t>tot_act_nt_harv_rt</t>
  </si>
  <si>
    <t>tot_act_treaty_harv_rt</t>
  </si>
  <si>
    <t>comm</t>
  </si>
  <si>
    <t>z6_sport</t>
  </si>
  <si>
    <t>z6_tribal</t>
  </si>
  <si>
    <t>wan</t>
  </si>
  <si>
    <t>col</t>
  </si>
  <si>
    <t>tot_nt</t>
  </si>
  <si>
    <t>tot_treaty</t>
  </si>
  <si>
    <t>rm_run_size</t>
  </si>
  <si>
    <t>tot_nt_harvest</t>
  </si>
  <si>
    <t>tot_treaty_harv</t>
  </si>
  <si>
    <t>tot_harv_ds_snk</t>
  </si>
  <si>
    <t>tot_nt_harv_rt</t>
  </si>
  <si>
    <t>tot_treaty_harv_rt</t>
  </si>
  <si>
    <t>tot_nt_harv_us_snk</t>
  </si>
  <si>
    <t>tot_nt_harv</t>
  </si>
  <si>
    <t>tot_treat_impacts</t>
  </si>
  <si>
    <t>tot_all_treat_harvest_rate</t>
  </si>
  <si>
    <t>tot_all_treat_harv</t>
  </si>
  <si>
    <t>tot_act_treat_harv_rate</t>
  </si>
  <si>
    <t>bon_forecast</t>
  </si>
  <si>
    <t>bon_return</t>
  </si>
  <si>
    <t>HAS</t>
  </si>
  <si>
    <t>WAS</t>
  </si>
  <si>
    <t>HBS</t>
  </si>
  <si>
    <t>WBS</t>
  </si>
  <si>
    <t>totBS</t>
  </si>
  <si>
    <t>totS</t>
  </si>
  <si>
    <t>cat</t>
  </si>
  <si>
    <t>z15_sport</t>
  </si>
  <si>
    <t>BON_run</t>
  </si>
  <si>
    <t>z6hwy395_sport</t>
  </si>
  <si>
    <t>clp_hat_a</t>
  </si>
  <si>
    <t>uclp_hat_a</t>
  </si>
  <si>
    <t>no_a</t>
  </si>
  <si>
    <t>tot_a</t>
  </si>
  <si>
    <t>clp_hat_b</t>
  </si>
  <si>
    <t>uclp_hat_b</t>
  </si>
  <si>
    <t>no_b</t>
  </si>
  <si>
    <t>tot_b</t>
  </si>
  <si>
    <t>tot</t>
  </si>
  <si>
    <t>CHB</t>
  </si>
  <si>
    <t>CHA</t>
  </si>
  <si>
    <t>UCHNOA</t>
  </si>
  <si>
    <t>UCHNOB</t>
  </si>
  <si>
    <t>totB</t>
  </si>
  <si>
    <t>nt_srw_harv_rt</t>
  </si>
  <si>
    <t>treat_srw_harv_rt</t>
  </si>
  <si>
    <t>tot_srw_harv_rt</t>
  </si>
  <si>
    <t>nt_urb_harv_rt</t>
  </si>
  <si>
    <t>treat_urb_harv_rt</t>
  </si>
  <si>
    <t>tot_urb_harv_rt</t>
  </si>
  <si>
    <t>pfmc_ocean_ab</t>
  </si>
  <si>
    <t>pfmc_nt_catch</t>
  </si>
  <si>
    <t>treat_harv</t>
  </si>
  <si>
    <t>tot_esc_mgt_goals</t>
  </si>
  <si>
    <t>tot_harvtb</t>
  </si>
  <si>
    <t>tot_harvtb_50</t>
  </si>
  <si>
    <t>nt_perc_harvtb</t>
  </si>
  <si>
    <t>treat_perc_harvtb</t>
  </si>
  <si>
    <t>inriv_nt_harv</t>
  </si>
  <si>
    <t>usVor_ocean_ab</t>
  </si>
  <si>
    <t>ocean_nt_z15_catch</t>
  </si>
  <si>
    <t>bon_cnt</t>
  </si>
  <si>
    <t>treaty_harv</t>
  </si>
  <si>
    <t>perc_urcoho_bon</t>
  </si>
  <si>
    <t>rn_year</t>
  </si>
  <si>
    <t>no_rm_ret</t>
  </si>
  <si>
    <t>comm_uc_rel_mort</t>
  </si>
  <si>
    <t>rec_dsBon_clpd_hat_kept</t>
  </si>
  <si>
    <t>rec_dsBon_uc_rel_mort</t>
  </si>
  <si>
    <t>rec_bp_uc_rel_mort</t>
  </si>
  <si>
    <t>rec_bp_clpd_hat_kept</t>
  </si>
  <si>
    <t>tot_clpd_hat_kept</t>
  </si>
  <si>
    <t>tot_uc_rel_mort</t>
  </si>
  <si>
    <t>uc_rt_act</t>
  </si>
  <si>
    <t>uc_rt_allow</t>
  </si>
  <si>
    <t>spn_year</t>
  </si>
  <si>
    <t>tot_z6_harv</t>
  </si>
  <si>
    <t>bp_wint_harv_tot_bon_pool</t>
  </si>
  <si>
    <t>no_harv_rt</t>
  </si>
  <si>
    <t>bp_wint_harv_clpd</t>
  </si>
  <si>
    <t>bp_wint_harv_uclpd</t>
  </si>
  <si>
    <t>bp_wint_harv_uclpd_hrt</t>
  </si>
  <si>
    <t>preMean_winter_hrvrt</t>
  </si>
  <si>
    <t>clpd_harv</t>
  </si>
  <si>
    <t>wint_comm_uclpd_harv</t>
  </si>
  <si>
    <t>tot_uclpd_harv</t>
  </si>
  <si>
    <t>commSub_uclpd_hrvrt1</t>
  </si>
  <si>
    <t>commSub_uclpd_hrvrt2</t>
  </si>
  <si>
    <t>2001-2002</t>
  </si>
  <si>
    <t>2002-2003</t>
  </si>
  <si>
    <t>2003-2004</t>
  </si>
  <si>
    <t>2004-2005</t>
  </si>
  <si>
    <t>2005-2006</t>
  </si>
  <si>
    <t>2006-2007</t>
  </si>
  <si>
    <t>uclpd_harv</t>
  </si>
  <si>
    <t>cs_gillnet_perm</t>
  </si>
  <si>
    <t>plat_hookLine</t>
  </si>
  <si>
    <t>comm_gillnet_clipd</t>
  </si>
  <si>
    <t>comm_gillnet_uclipd</t>
  </si>
  <si>
    <t>comm_gillnet_tot</t>
  </si>
  <si>
    <t>tot_sh_harv_clpd</t>
  </si>
  <si>
    <t>tot_sh_harv_tot</t>
  </si>
  <si>
    <t>tot_sh_harv_uclpd</t>
  </si>
  <si>
    <t>uclpd_harv_rt</t>
  </si>
  <si>
    <t>platform_uclpd</t>
  </si>
  <si>
    <t>platform_clpd</t>
  </si>
  <si>
    <t>clpd_hat_a</t>
  </si>
  <si>
    <t>clpd_hat_b</t>
  </si>
  <si>
    <t>clpd_hat_tot</t>
  </si>
  <si>
    <t>uclpd_hat_a</t>
  </si>
  <si>
    <t>uclpd_hat_b</t>
  </si>
  <si>
    <t>uclpd_hat_tot</t>
  </si>
  <si>
    <t>a_index</t>
  </si>
  <si>
    <t>b_index</t>
  </si>
  <si>
    <t>tot_a_index</t>
  </si>
  <si>
    <t>tot_b_index</t>
  </si>
  <si>
    <t>tot_tot</t>
  </si>
  <si>
    <t>tot_ws_mort_clpd_wint</t>
  </si>
  <si>
    <t>tot_ws_mort_clpd_spr</t>
  </si>
  <si>
    <t>tot_ws_mort_uclpd_wint</t>
  </si>
  <si>
    <t>tot_ws_mort_uclpd_spr</t>
  </si>
  <si>
    <t>dsBON_comm_clpd_rel_mort</t>
  </si>
  <si>
    <t>dsBON_comm_uclpd_rel_mort</t>
  </si>
  <si>
    <t>dsBON_rec_clpd_hat_kept</t>
  </si>
  <si>
    <t>dsBON_rec_uclpd_rel_mort</t>
  </si>
  <si>
    <t>bp_rec_clpd_hat_kept</t>
  </si>
  <si>
    <t>bp_rec_uclpd_rel_mort</t>
  </si>
  <si>
    <t>aInd_ho_kept</t>
  </si>
  <si>
    <t>aInd_ho_rel_morts</t>
  </si>
  <si>
    <t>aInd_no_rel_morts</t>
  </si>
  <si>
    <t>bInd_ho_kept</t>
  </si>
  <si>
    <t>bInd_ho_rel_morts</t>
  </si>
  <si>
    <t>bInd_no_rel_morts</t>
  </si>
  <si>
    <t>aInd_tot_morts</t>
  </si>
  <si>
    <t>bInd_tot_morts</t>
  </si>
  <si>
    <t>abInd_tot_morts</t>
  </si>
  <si>
    <t>clpd_hat_a_ind</t>
  </si>
  <si>
    <t>clpd_hat_b_ind</t>
  </si>
  <si>
    <t>clpd_hat_ab_ind</t>
  </si>
  <si>
    <t>uclpd_hat_a_ind</t>
  </si>
  <si>
    <t>uclpd_hat_b_ind</t>
  </si>
  <si>
    <t>uclpd_hat_ab_ind</t>
  </si>
  <si>
    <t>tot_hat_a_ind</t>
  </si>
  <si>
    <t>tot_hat_b_ind</t>
  </si>
  <si>
    <t>tot_hat_ab_ind</t>
  </si>
  <si>
    <t>dsBON_comm_ho_rel_mort</t>
  </si>
  <si>
    <t>dsBON_comm_no_rel_mort</t>
  </si>
  <si>
    <t>dsBON_rec_ho_kept</t>
  </si>
  <si>
    <t>dsBON_rec_ho_rel_mort</t>
  </si>
  <si>
    <t>dsBON_rec_no_rel_mort</t>
  </si>
  <si>
    <t>bon395_rec_ho_kept</t>
  </si>
  <si>
    <t>bon395_rec_ho_rel_mort</t>
  </si>
  <si>
    <t>bon395_rec_no_rel_mort</t>
  </si>
  <si>
    <t>tot_aInd_ho_morts</t>
  </si>
  <si>
    <t>tot_aInd_no_morts</t>
  </si>
  <si>
    <t>tot_aInd_no_imp_rt</t>
  </si>
  <si>
    <t>tot_bInd_ho_morts</t>
  </si>
  <si>
    <t>tot_bInd_no_morts</t>
  </si>
  <si>
    <t>tot_bInd_no_imp_rt</t>
  </si>
  <si>
    <t>sp_year</t>
  </si>
  <si>
    <t>ws_uclpd</t>
  </si>
  <si>
    <t>ws_clpd</t>
  </si>
  <si>
    <t>ws_tot</t>
  </si>
  <si>
    <t>ss_clpd</t>
  </si>
  <si>
    <t>ss_uclpd</t>
  </si>
  <si>
    <t>ss_tot</t>
  </si>
  <si>
    <t>ss_spyr_esc</t>
  </si>
  <si>
    <t>ss_min_run_sz</t>
  </si>
  <si>
    <t>ss_harv_rt</t>
  </si>
  <si>
    <t>spr_season_clpd</t>
  </si>
  <si>
    <t>spr_season_uclpd</t>
  </si>
  <si>
    <t>spr_season_tot</t>
  </si>
  <si>
    <t>fall_season_clpd</t>
  </si>
  <si>
    <t>fall_season_uclpd</t>
  </si>
  <si>
    <t>fall_season_tot</t>
  </si>
  <si>
    <t>clpd_hat_rn_sz</t>
  </si>
  <si>
    <t>uclpd_pno_rn_sz</t>
  </si>
  <si>
    <t>tot_rn_sz</t>
  </si>
  <si>
    <t>prop_no</t>
  </si>
  <si>
    <t>ad_clpd_kept</t>
  </si>
  <si>
    <t>clpd_harv_rt</t>
  </si>
  <si>
    <t>uclpd_rel</t>
  </si>
  <si>
    <t>uclpd_rel_mort</t>
  </si>
  <si>
    <t>uclpd_imp_rt</t>
  </si>
  <si>
    <t>tot_mort</t>
  </si>
  <si>
    <t>no_run_sz_lf</t>
  </si>
  <si>
    <t>treat_harv_rate</t>
  </si>
  <si>
    <t>1998-1999</t>
  </si>
  <si>
    <t>1999-2000</t>
  </si>
  <si>
    <t>2000-2001</t>
  </si>
  <si>
    <t>rn_sz_sf_wild</t>
  </si>
  <si>
    <t>rn_sz_sf_hat</t>
  </si>
  <si>
    <t>rn_sz_sf_tot</t>
  </si>
  <si>
    <t>harv_year</t>
  </si>
  <si>
    <t>fall_harv_wild</t>
  </si>
  <si>
    <t>fall_harv_wild_Imp_rate</t>
  </si>
  <si>
    <t>fall_harv_hat</t>
  </si>
  <si>
    <t>fall_harv_tot</t>
  </si>
  <si>
    <t>1996-1997</t>
  </si>
  <si>
    <t>1997-1998</t>
  </si>
  <si>
    <t>1999-1990</t>
  </si>
  <si>
    <t>rn_yr</t>
  </si>
  <si>
    <t>kept_clpd</t>
  </si>
  <si>
    <t>kept_uclpd</t>
  </si>
  <si>
    <t>rel_clpd</t>
  </si>
  <si>
    <t>rel_uclpd</t>
  </si>
  <si>
    <t>rel_mort_clpd</t>
  </si>
  <si>
    <t>rel_mort_uclpd</t>
  </si>
  <si>
    <t>tot_clpd_mort</t>
  </si>
  <si>
    <t>tot_uclpd_mort</t>
  </si>
  <si>
    <t>spawn_esc</t>
  </si>
  <si>
    <t>no_run_3m_dam</t>
  </si>
  <si>
    <t>rn_sz</t>
  </si>
  <si>
    <t>no_harv</t>
  </si>
  <si>
    <t>wen_spawners</t>
  </si>
  <si>
    <t>harv</t>
  </si>
  <si>
    <t>harv_rt</t>
  </si>
  <si>
    <t>chn_jan_jun_tot_hand</t>
  </si>
  <si>
    <t>chn_jan_jun_tot_dmorts</t>
  </si>
  <si>
    <t>chn_jun_jul_tot_hand</t>
  </si>
  <si>
    <t>chn_jun_jul_tot_dmorts</t>
  </si>
  <si>
    <t>chn_aug_dec_tot_hand</t>
  </si>
  <si>
    <t>chn_aug_dec_tot_dmorts</t>
  </si>
  <si>
    <t>chn_jan_jun_mort_rt</t>
  </si>
  <si>
    <t>chn_jun_jul_mort_rt</t>
  </si>
  <si>
    <t>chn_aug_dec_mort_rt</t>
  </si>
  <si>
    <t>soc_tot_hand</t>
  </si>
  <si>
    <t>soc_aug_dec_tot_dmorts</t>
  </si>
  <si>
    <t>soc_mort_rt</t>
  </si>
  <si>
    <t>stl_apr_jun_tot_hand</t>
  </si>
  <si>
    <t>stl_apr_jun_tot_dmorts</t>
  </si>
  <si>
    <t>stl_apr_jun_mort_rt</t>
  </si>
  <si>
    <t>stl_jul_oct_tot_hand</t>
  </si>
  <si>
    <t>stl_jul_oct_tot_dmorts</t>
  </si>
  <si>
    <t>stl_jul_oct_mort_rt</t>
  </si>
  <si>
    <t>snk_sp_su_ch</t>
  </si>
  <si>
    <t>ucr_sp_ch</t>
  </si>
  <si>
    <t>uwr_sp_ch</t>
  </si>
  <si>
    <t>lcr_ch_sp</t>
  </si>
  <si>
    <t>lcr_ch_tule</t>
  </si>
  <si>
    <t>lcr_ch_bright</t>
  </si>
  <si>
    <t>snk_f_ch</t>
  </si>
  <si>
    <t>snk_aInd</t>
  </si>
  <si>
    <t>snk_bInd</t>
  </si>
  <si>
    <t>ucr_stl</t>
  </si>
  <si>
    <t>mcr_win</t>
  </si>
  <si>
    <t>mcr_sum</t>
  </si>
  <si>
    <t>lcr_win</t>
  </si>
  <si>
    <t>lcr_sum</t>
  </si>
  <si>
    <t>uwr_stl</t>
  </si>
  <si>
    <t>lcr_coho</t>
  </si>
  <si>
    <t>cr_chum</t>
  </si>
  <si>
    <t>snk_sock</t>
  </si>
  <si>
    <t>grn_stg</t>
  </si>
  <si>
    <t>bull_trt</t>
  </si>
  <si>
    <t>lcr_ch_spr</t>
  </si>
  <si>
    <t>lcr_ch_brt</t>
  </si>
  <si>
    <t>snk_fa_ch</t>
  </si>
  <si>
    <t>coho_lcn</t>
  </si>
  <si>
    <t>stl_aInd</t>
  </si>
  <si>
    <t>stl_bInd</t>
  </si>
  <si>
    <t>lcr_chn_lrh</t>
  </si>
  <si>
    <t>lcr_chn_lrw</t>
  </si>
  <si>
    <t>lcr_chn_urb</t>
  </si>
  <si>
    <t>Baseline (1988-2007)</t>
  </si>
  <si>
    <t>uspr_snk_sp_su_chn</t>
  </si>
  <si>
    <t>no_snk_sp_su_chn</t>
  </si>
  <si>
    <t>combk_ucr_snk_soc</t>
  </si>
  <si>
    <t>ska_no_stl</t>
  </si>
  <si>
    <t>no_aInd_stl</t>
  </si>
  <si>
    <t>noHat_bInd_stl</t>
  </si>
  <si>
    <t>no_bInd_stl</t>
  </si>
  <si>
    <t>no_snk_fa_chn</t>
  </si>
  <si>
    <t>no_ucr_sp_ch</t>
  </si>
  <si>
    <t>no_ucr_sp_chIndex</t>
  </si>
  <si>
    <t>no_snk_sp_su_chnIndex</t>
  </si>
  <si>
    <t>no_jd_sp_ch</t>
  </si>
  <si>
    <t>no_wmsp_sp_ch</t>
  </si>
  <si>
    <t>ucr_su_ch</t>
  </si>
  <si>
    <t>lkWen_no_hat_soc</t>
  </si>
  <si>
    <t>snk_no_hat_soc</t>
  </si>
  <si>
    <t>ok_no_hat_soc</t>
  </si>
  <si>
    <t>han_no_hat_fa_chn</t>
  </si>
  <si>
    <t>snk_no_fa_chn</t>
  </si>
  <si>
    <t>desch_no_fa_chn</t>
  </si>
  <si>
    <t>desc_no_stl</t>
  </si>
  <si>
    <t>jd_no_stl</t>
  </si>
  <si>
    <t>uma_no_stl</t>
  </si>
  <si>
    <t>josCr_no_stl</t>
  </si>
  <si>
    <t>no_snk_aInd_stl</t>
  </si>
  <si>
    <t>no_snk_bInd_stl</t>
  </si>
  <si>
    <t>meth_no_stl</t>
  </si>
  <si>
    <t>wen_no_stl</t>
  </si>
  <si>
    <t>klick_no_stlRedd</t>
  </si>
  <si>
    <t>klick_no_stlLyle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</si>
</sst>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00"/>
    <numFmt numFmtId="167" formatCode="[$-409]h:mm\ AM/PM;@"/>
    <numFmt numFmtId="168" formatCode="m/d/yy;@"/>
    <numFmt numFmtId="169" formatCode="0.0000"/>
    <numFmt numFmtId="170" formatCode="#,##0.0"/>
    <numFmt numFmtId="171" formatCode="0_);\(0\)"/>
  </numFmts>
  <fonts count="140" x14ac:knownFonts="1"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vertAlign val="superscript"/>
      <sz val="10"/>
      <color theme="1"/>
      <name val="Calibri"/>
      <family val="2"/>
    </font>
    <font>
      <b/>
      <sz val="10"/>
      <name val="Arial"/>
      <family val="2"/>
    </font>
    <font>
      <sz val="10"/>
      <color theme="1"/>
      <name val="Times New Roman"/>
      <family val="1"/>
    </font>
    <font>
      <sz val="8"/>
      <color theme="1"/>
      <name val="Calibri"/>
      <family val="2"/>
    </font>
    <font>
      <vertAlign val="superscript"/>
      <sz val="8"/>
      <color theme="1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sz val="8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i/>
      <vertAlign val="superscript"/>
      <sz val="10"/>
      <color theme="1"/>
      <name val="Times New Roman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Times New Roman"/>
      <family val="1"/>
    </font>
    <font>
      <b/>
      <sz val="10"/>
      <name val="Calibri"/>
      <family val="2"/>
    </font>
    <font>
      <sz val="10"/>
      <name val="Calibri"/>
      <family val="2"/>
    </font>
    <font>
      <b/>
      <sz val="8"/>
      <name val="Arial"/>
      <family val="2"/>
    </font>
    <font>
      <b/>
      <vertAlign val="superscript"/>
      <sz val="8"/>
      <name val="Arial"/>
      <family val="2"/>
    </font>
    <font>
      <vertAlign val="superscript"/>
      <sz val="8"/>
      <name val="Arial"/>
      <family val="2"/>
    </font>
    <font>
      <sz val="10"/>
      <color theme="1"/>
      <name val="Tahoma"/>
      <family val="2"/>
    </font>
    <font>
      <sz val="8"/>
      <name val="Times New Roman"/>
      <family val="1"/>
    </font>
    <font>
      <b/>
      <sz val="8"/>
      <color theme="1"/>
      <name val="Times New Roman"/>
      <family val="1"/>
    </font>
    <font>
      <i/>
      <sz val="8"/>
      <color theme="1"/>
      <name val="Times New Roman"/>
      <family val="1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vertAlign val="superscript"/>
      <sz val="8"/>
      <color rgb="FF000000"/>
      <name val="Times New Roman"/>
      <family val="1"/>
    </font>
    <font>
      <i/>
      <sz val="8"/>
      <color rgb="FF000000"/>
      <name val="Times New Roman"/>
      <family val="1"/>
    </font>
    <font>
      <i/>
      <vertAlign val="superscript"/>
      <sz val="8"/>
      <color rgb="FF000000"/>
      <name val="Times New Roman"/>
      <family val="1"/>
    </font>
    <font>
      <i/>
      <sz val="6"/>
      <color rgb="FF000000"/>
      <name val="Times New Roman"/>
      <family val="1"/>
    </font>
    <font>
      <b/>
      <i/>
      <sz val="8"/>
      <color theme="1"/>
      <name val="Times New Roman"/>
      <family val="1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2"/>
      <name val="Arial"/>
      <family val="2"/>
    </font>
    <font>
      <u/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name val="Times New Roman"/>
      <family val="1"/>
    </font>
    <font>
      <b/>
      <sz val="18"/>
      <name val="Arial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8"/>
      <color theme="3"/>
      <name val="Cambria"/>
      <family val="2"/>
      <scheme val="major"/>
    </font>
    <font>
      <sz val="10"/>
      <name val="Times New Roman"/>
      <family val="1"/>
    </font>
    <font>
      <b/>
      <sz val="8"/>
      <name val="Times New Roman"/>
      <family val="1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color rgb="FF000000"/>
      <name val="Calibri"/>
      <family val="2"/>
    </font>
    <font>
      <sz val="11"/>
      <color rgb="FF000000"/>
      <name val="Calibri"/>
      <family val="2"/>
    </font>
    <font>
      <vertAlign val="superscript"/>
      <sz val="8"/>
      <name val="Times New Roman"/>
      <family val="1"/>
    </font>
    <font>
      <b/>
      <sz val="8"/>
      <color rgb="FF000000"/>
      <name val="Calibri"/>
      <family val="2"/>
    </font>
    <font>
      <sz val="12"/>
      <color rgb="FF000000"/>
      <name val="Calibri"/>
      <family val="2"/>
    </font>
    <font>
      <u/>
      <sz val="8"/>
      <color rgb="FF0563C1"/>
      <name val="Calibri"/>
      <family val="2"/>
    </font>
    <font>
      <vertAlign val="superscript"/>
      <sz val="8"/>
      <color rgb="FF000000"/>
      <name val="Calibri"/>
      <family val="2"/>
    </font>
    <font>
      <sz val="9"/>
      <color rgb="FF000000"/>
      <name val="Calibri"/>
      <family val="2"/>
    </font>
    <font>
      <u/>
      <sz val="9"/>
      <color rgb="FF0563C1"/>
      <name val="Calibri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i/>
      <sz val="11"/>
      <color rgb="FF000000"/>
      <name val="Calibri"/>
      <family val="2"/>
    </font>
    <font>
      <u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0"/>
      <color rgb="FF006100"/>
      <name val="Calibri"/>
      <family val="2"/>
    </font>
    <font>
      <sz val="10"/>
      <color rgb="FF9C0006"/>
      <name val="Calibri"/>
      <family val="2"/>
    </font>
    <font>
      <sz val="10"/>
      <color rgb="FF9C6500"/>
      <name val="Calibri"/>
      <family val="2"/>
    </font>
    <font>
      <sz val="10"/>
      <color rgb="FF3F3F76"/>
      <name val="Calibri"/>
      <family val="2"/>
    </font>
    <font>
      <b/>
      <sz val="10"/>
      <color rgb="FF3F3F3F"/>
      <name val="Calibri"/>
      <family val="2"/>
    </font>
    <font>
      <b/>
      <sz val="10"/>
      <color rgb="FFFA7D00"/>
      <name val="Calibri"/>
      <family val="2"/>
    </font>
    <font>
      <sz val="10"/>
      <color rgb="FFFA7D00"/>
      <name val="Calibri"/>
      <family val="2"/>
    </font>
    <font>
      <b/>
      <sz val="10"/>
      <color theme="0"/>
      <name val="Calibri"/>
      <family val="2"/>
    </font>
    <font>
      <sz val="10"/>
      <color rgb="FFFF0000"/>
      <name val="Calibri"/>
      <family val="2"/>
    </font>
    <font>
      <i/>
      <sz val="10"/>
      <color rgb="FF7F7F7F"/>
      <name val="Calibri"/>
      <family val="2"/>
    </font>
    <font>
      <sz val="10"/>
      <color theme="0"/>
      <name val="Calibri"/>
      <family val="2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7.5"/>
      <color rgb="FF000000"/>
      <name val="Verdana"/>
      <family val="2"/>
    </font>
    <font>
      <sz val="7.5"/>
      <color rgb="FF000000"/>
      <name val="Verdana"/>
      <family val="2"/>
    </font>
    <font>
      <b/>
      <sz val="10"/>
      <color rgb="FF000000"/>
      <name val="Arial"/>
      <family val="2"/>
    </font>
    <font>
      <b/>
      <i/>
      <sz val="9"/>
      <color rgb="FF000000"/>
      <name val="Times New Roman"/>
      <family val="1"/>
    </font>
    <font>
      <u/>
      <sz val="10"/>
      <color theme="10"/>
      <name val="Calibri"/>
      <family val="2"/>
    </font>
    <font>
      <i/>
      <sz val="11"/>
      <color rgb="FF000000"/>
      <name val="Times New Roman"/>
      <family val="1"/>
    </font>
    <font>
      <sz val="10"/>
      <name val="Arial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</fonts>
  <fills count="7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49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9"/>
        <bgColor indexed="9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EC195"/>
        <bgColor indexed="64"/>
      </patternFill>
    </fill>
    <fill>
      <patternFill patternType="solid">
        <fgColor rgb="FFE2E4FF"/>
        <bgColor indexed="64"/>
      </patternFill>
    </fill>
    <fill>
      <patternFill patternType="solid">
        <fgColor rgb="FFB0C0DD"/>
        <bgColor indexed="64"/>
      </patternFill>
    </fill>
  </fills>
  <borders count="7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double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0"/>
      </left>
      <right/>
      <top style="double">
        <color indexed="0"/>
      </top>
      <bottom/>
      <diagonal/>
    </border>
    <border>
      <left/>
      <right/>
      <top style="double">
        <color indexed="0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0"/>
      </left>
      <right/>
      <top/>
      <bottom style="double">
        <color indexed="0"/>
      </bottom>
      <diagonal/>
    </border>
    <border>
      <left/>
      <right/>
      <top/>
      <bottom style="double">
        <color indexed="0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0"/>
      </left>
      <right/>
      <top/>
      <bottom/>
      <diagonal/>
    </border>
    <border>
      <left/>
      <right/>
      <top/>
      <bottom style="thin">
        <color indexed="0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0"/>
      </top>
      <bottom/>
      <diagonal/>
    </border>
    <border>
      <left style="double">
        <color indexed="0"/>
      </left>
      <right/>
      <top/>
      <bottom style="thin">
        <color indexed="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D0D7E5"/>
      </top>
      <bottom style="thin">
        <color rgb="FFD0D7E5"/>
      </bottom>
      <diagonal/>
    </border>
    <border>
      <left style="medium">
        <color indexed="64"/>
      </left>
      <right/>
      <top style="thin">
        <color rgb="FFD0D7E5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20729">
    <xf numFmtId="0" fontId="0" fillId="0" borderId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20" fillId="0" borderId="0"/>
    <xf numFmtId="0" fontId="9" fillId="0" borderId="0"/>
    <xf numFmtId="0" fontId="20" fillId="0" borderId="0"/>
    <xf numFmtId="4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9" fontId="20" fillId="0" borderId="0" applyFont="0" applyFill="0" applyBorder="0" applyAlignment="0" applyProtection="0"/>
    <xf numFmtId="0" fontId="9" fillId="0" borderId="0"/>
    <xf numFmtId="0" fontId="38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9" fillId="0" borderId="0"/>
    <xf numFmtId="0" fontId="20" fillId="0" borderId="0"/>
    <xf numFmtId="4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9" fillId="0" borderId="0"/>
    <xf numFmtId="0" fontId="20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20" fillId="0" borderId="0">
      <alignment horizontal="center"/>
    </xf>
    <xf numFmtId="9" fontId="20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9" fillId="0" borderId="0"/>
    <xf numFmtId="0" fontId="20" fillId="0" borderId="0"/>
    <xf numFmtId="0" fontId="8" fillId="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62" fillId="42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62" fillId="44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62" fillId="4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62" fillId="47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62" fillId="48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62" fillId="45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62" fillId="4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62" fillId="44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62" fillId="49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62" fillId="43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62" fillId="48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62" fillId="45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3" fillId="20" borderId="0" applyNumberFormat="0" applyBorder="0" applyAlignment="0" applyProtection="0"/>
    <xf numFmtId="0" fontId="63" fillId="48" borderId="0" applyNumberFormat="0" applyBorder="0" applyAlignment="0" applyProtection="0"/>
    <xf numFmtId="0" fontId="73" fillId="24" borderId="0" applyNumberFormat="0" applyBorder="0" applyAlignment="0" applyProtection="0"/>
    <xf numFmtId="0" fontId="63" fillId="51" borderId="0" applyNumberFormat="0" applyBorder="0" applyAlignment="0" applyProtection="0"/>
    <xf numFmtId="0" fontId="73" fillId="28" borderId="0" applyNumberFormat="0" applyBorder="0" applyAlignment="0" applyProtection="0"/>
    <xf numFmtId="0" fontId="63" fillId="50" borderId="0" applyNumberFormat="0" applyBorder="0" applyAlignment="0" applyProtection="0"/>
    <xf numFmtId="0" fontId="73" fillId="32" borderId="0" applyNumberFormat="0" applyBorder="0" applyAlignment="0" applyProtection="0"/>
    <xf numFmtId="0" fontId="63" fillId="43" borderId="0" applyNumberFormat="0" applyBorder="0" applyAlignment="0" applyProtection="0"/>
    <xf numFmtId="0" fontId="73" fillId="36" borderId="0" applyNumberFormat="0" applyBorder="0" applyAlignment="0" applyProtection="0"/>
    <xf numFmtId="0" fontId="63" fillId="48" borderId="0" applyNumberFormat="0" applyBorder="0" applyAlignment="0" applyProtection="0"/>
    <xf numFmtId="0" fontId="73" fillId="40" borderId="0" applyNumberFormat="0" applyBorder="0" applyAlignment="0" applyProtection="0"/>
    <xf numFmtId="0" fontId="63" fillId="44" borderId="0" applyNumberFormat="0" applyBorder="0" applyAlignment="0" applyProtection="0"/>
    <xf numFmtId="0" fontId="73" fillId="17" borderId="0" applyNumberFormat="0" applyBorder="0" applyAlignment="0" applyProtection="0"/>
    <xf numFmtId="0" fontId="63" fillId="53" borderId="0" applyNumberFormat="0" applyBorder="0" applyAlignment="0" applyProtection="0"/>
    <xf numFmtId="0" fontId="73" fillId="21" borderId="0" applyNumberFormat="0" applyBorder="0" applyAlignment="0" applyProtection="0"/>
    <xf numFmtId="0" fontId="63" fillId="51" borderId="0" applyNumberFormat="0" applyBorder="0" applyAlignment="0" applyProtection="0"/>
    <xf numFmtId="0" fontId="73" fillId="25" borderId="0" applyNumberFormat="0" applyBorder="0" applyAlignment="0" applyProtection="0"/>
    <xf numFmtId="0" fontId="63" fillId="50" borderId="0" applyNumberFormat="0" applyBorder="0" applyAlignment="0" applyProtection="0"/>
    <xf numFmtId="0" fontId="73" fillId="29" borderId="0" applyNumberFormat="0" applyBorder="0" applyAlignment="0" applyProtection="0"/>
    <xf numFmtId="0" fontId="63" fillId="55" borderId="0" applyNumberFormat="0" applyBorder="0" applyAlignment="0" applyProtection="0"/>
    <xf numFmtId="0" fontId="73" fillId="33" borderId="0" applyNumberFormat="0" applyBorder="0" applyAlignment="0" applyProtection="0"/>
    <xf numFmtId="0" fontId="63" fillId="52" borderId="0" applyNumberFormat="0" applyBorder="0" applyAlignment="0" applyProtection="0"/>
    <xf numFmtId="0" fontId="73" fillId="37" borderId="0" applyNumberFormat="0" applyBorder="0" applyAlignment="0" applyProtection="0"/>
    <xf numFmtId="0" fontId="63" fillId="54" borderId="0" applyNumberFormat="0" applyBorder="0" applyAlignment="0" applyProtection="0"/>
    <xf numFmtId="0" fontId="74" fillId="12" borderId="0" applyNumberFormat="0" applyBorder="0" applyAlignment="0" applyProtection="0"/>
    <xf numFmtId="0" fontId="64" fillId="46" borderId="0" applyNumberFormat="0" applyBorder="0" applyAlignment="0" applyProtection="0"/>
    <xf numFmtId="0" fontId="75" fillId="15" borderId="33" applyNumberFormat="0" applyAlignment="0" applyProtection="0"/>
    <xf numFmtId="0" fontId="70" fillId="56" borderId="36" applyNumberFormat="0" applyAlignment="0" applyProtection="0"/>
    <xf numFmtId="0" fontId="76" fillId="16" borderId="35" applyNumberFormat="0" applyAlignment="0" applyProtection="0"/>
    <xf numFmtId="0" fontId="65" fillId="57" borderId="37" applyNumberFormat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7" fontId="35" fillId="0" borderId="0" applyFont="0" applyFill="0" applyBorder="0" applyAlignment="0" applyProtection="0"/>
    <xf numFmtId="4" fontId="35" fillId="58" borderId="0" applyFont="0" applyFill="0" applyBorder="0" applyAlignment="0" applyProtection="0"/>
    <xf numFmtId="4" fontId="35" fillId="58" borderId="0" applyFont="0" applyFill="0" applyBorder="0" applyAlignment="0" applyProtection="0"/>
    <xf numFmtId="4" fontId="35" fillId="58" borderId="0" applyFont="0" applyFill="0" applyBorder="0" applyAlignment="0" applyProtection="0"/>
    <xf numFmtId="4" fontId="35" fillId="58" borderId="0" applyFont="0" applyFill="0" applyBorder="0" applyAlignment="0" applyProtection="0"/>
    <xf numFmtId="43" fontId="20" fillId="0" borderId="0" applyFont="0" applyFill="0" applyBorder="0" applyAlignment="0" applyProtection="0"/>
    <xf numFmtId="4" fontId="35" fillId="58" borderId="0" applyFont="0" applyFill="0" applyBorder="0" applyAlignment="0" applyProtection="0"/>
    <xf numFmtId="4" fontId="35" fillId="58" borderId="0" applyFont="0" applyFill="0" applyBorder="0" applyAlignment="0" applyProtection="0"/>
    <xf numFmtId="43" fontId="20" fillId="0" borderId="0" applyFont="0" applyFill="0" applyBorder="0" applyAlignment="0" applyProtection="0"/>
    <xf numFmtId="4" fontId="35" fillId="58" borderId="0" applyFont="0" applyFill="0" applyBorder="0" applyAlignment="0" applyProtection="0"/>
    <xf numFmtId="4" fontId="35" fillId="58" borderId="0" applyFont="0" applyFill="0" applyBorder="0" applyAlignment="0" applyProtection="0"/>
    <xf numFmtId="4" fontId="35" fillId="58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58" borderId="0" applyFont="0" applyFill="0" applyBorder="0" applyAlignment="0" applyProtection="0"/>
    <xf numFmtId="3" fontId="35" fillId="58" borderId="0" applyFont="0" applyFill="0" applyBorder="0" applyAlignment="0" applyProtection="0"/>
    <xf numFmtId="3" fontId="20" fillId="0" borderId="0" applyFont="0" applyFill="0" applyBorder="0" applyAlignment="0" applyProtection="0"/>
    <xf numFmtId="3" fontId="35" fillId="58" borderId="0" applyFont="0" applyFill="0" applyBorder="0" applyAlignment="0" applyProtection="0"/>
    <xf numFmtId="3" fontId="35" fillId="58" borderId="0" applyFont="0" applyFill="0" applyBorder="0" applyAlignment="0" applyProtection="0"/>
    <xf numFmtId="3" fontId="20" fillId="0" borderId="0" applyFont="0" applyFill="0" applyBorder="0" applyAlignment="0" applyProtection="0"/>
    <xf numFmtId="3" fontId="35" fillId="58" borderId="0" applyFont="0" applyFill="0" applyBorder="0" applyAlignment="0" applyProtection="0"/>
    <xf numFmtId="5" fontId="35" fillId="0" borderId="0" applyFont="0" applyFill="0" applyBorder="0" applyAlignment="0" applyProtection="0"/>
    <xf numFmtId="5" fontId="35" fillId="58" borderId="0" applyFont="0" applyFill="0" applyBorder="0" applyAlignment="0" applyProtection="0"/>
    <xf numFmtId="5" fontId="35" fillId="58" borderId="0" applyFont="0" applyFill="0" applyBorder="0" applyAlignment="0" applyProtection="0"/>
    <xf numFmtId="0" fontId="20" fillId="0" borderId="0" applyFont="0" applyFill="0" applyBorder="0" applyAlignment="0" applyProtection="0"/>
    <xf numFmtId="5" fontId="35" fillId="58" borderId="0" applyFont="0" applyFill="0" applyBorder="0" applyAlignment="0" applyProtection="0"/>
    <xf numFmtId="5" fontId="35" fillId="58" borderId="0" applyFont="0" applyFill="0" applyBorder="0" applyAlignment="0" applyProtection="0"/>
    <xf numFmtId="0" fontId="20" fillId="0" borderId="0" applyFont="0" applyFill="0" applyBorder="0" applyAlignment="0" applyProtection="0"/>
    <xf numFmtId="5" fontId="35" fillId="58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58" borderId="0" applyFont="0" applyFill="0" applyBorder="0" applyAlignment="0" applyProtection="0"/>
    <xf numFmtId="0" fontId="35" fillId="58" borderId="0" applyFont="0" applyFill="0" applyBorder="0" applyAlignment="0" applyProtection="0"/>
    <xf numFmtId="0" fontId="35" fillId="58" borderId="0" applyFont="0" applyFill="0" applyBorder="0" applyAlignment="0" applyProtection="0"/>
    <xf numFmtId="0" fontId="35" fillId="58" borderId="0" applyFont="0" applyFill="0" applyBorder="0" applyAlignment="0" applyProtection="0"/>
    <xf numFmtId="0" fontId="35" fillId="58" borderId="0" applyFont="0" applyFill="0" applyBorder="0" applyAlignment="0" applyProtection="0"/>
    <xf numFmtId="0" fontId="7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2" fontId="35" fillId="0" borderId="0" applyFont="0" applyFill="0" applyBorder="0" applyAlignment="0" applyProtection="0"/>
    <xf numFmtId="2" fontId="35" fillId="58" borderId="0" applyFont="0" applyFill="0" applyBorder="0" applyAlignment="0" applyProtection="0"/>
    <xf numFmtId="2" fontId="35" fillId="58" borderId="0" applyFont="0" applyFill="0" applyBorder="0" applyAlignment="0" applyProtection="0"/>
    <xf numFmtId="2" fontId="35" fillId="58" borderId="0" applyFont="0" applyFill="0" applyBorder="0" applyAlignment="0" applyProtection="0"/>
    <xf numFmtId="2" fontId="35" fillId="58" borderId="0" applyFont="0" applyFill="0" applyBorder="0" applyAlignment="0" applyProtection="0"/>
    <xf numFmtId="2" fontId="35" fillId="58" borderId="0" applyFont="0" applyFill="0" applyBorder="0" applyAlignment="0" applyProtection="0"/>
    <xf numFmtId="0" fontId="78" fillId="11" borderId="0" applyNumberFormat="0" applyBorder="0" applyAlignment="0" applyProtection="0"/>
    <xf numFmtId="0" fontId="67" fillId="48" borderId="0" applyNumberFormat="0" applyBorder="0" applyAlignment="0" applyProtection="0"/>
    <xf numFmtId="0" fontId="60" fillId="0" borderId="0" applyNumberFormat="0" applyFont="0" applyFill="0" applyAlignment="0" applyProtection="0"/>
    <xf numFmtId="0" fontId="79" fillId="0" borderId="30" applyNumberFormat="0" applyFill="0" applyAlignment="0" applyProtection="0"/>
    <xf numFmtId="0" fontId="60" fillId="58" borderId="0" applyFont="0" applyFill="0" applyBorder="0" applyAlignment="0" applyProtection="0"/>
    <xf numFmtId="0" fontId="60" fillId="58" borderId="0" applyFont="0" applyFill="0" applyBorder="0" applyAlignment="0" applyProtection="0"/>
    <xf numFmtId="0" fontId="61" fillId="0" borderId="0" applyNumberFormat="0" applyFont="0" applyFill="0" applyAlignment="0" applyProtection="0"/>
    <xf numFmtId="0" fontId="80" fillId="0" borderId="31" applyNumberFormat="0" applyFill="0" applyAlignment="0" applyProtection="0"/>
    <xf numFmtId="0" fontId="61" fillId="58" borderId="0" applyFont="0" applyFill="0" applyBorder="0" applyAlignment="0" applyProtection="0"/>
    <xf numFmtId="0" fontId="61" fillId="58" borderId="0" applyFont="0" applyFill="0" applyBorder="0" applyAlignment="0" applyProtection="0"/>
    <xf numFmtId="0" fontId="81" fillId="0" borderId="32" applyNumberFormat="0" applyFill="0" applyAlignment="0" applyProtection="0"/>
    <xf numFmtId="0" fontId="71" fillId="0" borderId="38" applyNumberFormat="0" applyFill="0" applyAlignment="0" applyProtection="0"/>
    <xf numFmtId="0" fontId="8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82" fillId="14" borderId="33" applyNumberFormat="0" applyAlignment="0" applyProtection="0"/>
    <xf numFmtId="0" fontId="68" fillId="49" borderId="36" applyNumberFormat="0" applyAlignment="0" applyProtection="0"/>
    <xf numFmtId="0" fontId="83" fillId="0" borderId="34" applyNumberFormat="0" applyFill="0" applyAlignment="0" applyProtection="0"/>
    <xf numFmtId="0" fontId="69" fillId="0" borderId="39" applyNumberFormat="0" applyFill="0" applyAlignment="0" applyProtection="0"/>
    <xf numFmtId="0" fontId="84" fillId="13" borderId="0" applyNumberFormat="0" applyBorder="0" applyAlignment="0" applyProtection="0"/>
    <xf numFmtId="0" fontId="72" fillId="49" borderId="0" applyNumberFormat="0" applyBorder="0" applyAlignment="0" applyProtection="0"/>
    <xf numFmtId="0" fontId="20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>
      <alignment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/>
    <xf numFmtId="0" fontId="2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0" fontId="20" fillId="0" borderId="0"/>
    <xf numFmtId="0" fontId="20" fillId="0" borderId="0"/>
    <xf numFmtId="0" fontId="85" fillId="0" borderId="0">
      <alignment vertical="top"/>
    </xf>
    <xf numFmtId="9" fontId="85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0" fillId="0" borderId="0" applyBorder="0"/>
    <xf numFmtId="4" fontId="20" fillId="0" borderId="0"/>
    <xf numFmtId="3" fontId="20" fillId="0" borderId="0"/>
    <xf numFmtId="5" fontId="20" fillId="0" borderId="0"/>
    <xf numFmtId="14" fontId="20" fillId="0" borderId="0"/>
    <xf numFmtId="2" fontId="20" fillId="0" borderId="0"/>
    <xf numFmtId="0" fontId="86" fillId="0" borderId="0"/>
    <xf numFmtId="0" fontId="60" fillId="0" borderId="0"/>
    <xf numFmtId="0" fontId="20" fillId="0" borderId="40"/>
    <xf numFmtId="0" fontId="20" fillId="0" borderId="0"/>
    <xf numFmtId="0" fontId="20" fillId="0" borderId="0"/>
    <xf numFmtId="0" fontId="35" fillId="0" borderId="0">
      <alignment vertical="top"/>
    </xf>
    <xf numFmtId="4" fontId="35" fillId="58" borderId="0" applyFont="0" applyFill="0" applyBorder="0" applyAlignment="0" applyProtection="0"/>
    <xf numFmtId="4" fontId="35" fillId="58" borderId="0" applyFont="0" applyFill="0" applyBorder="0" applyAlignment="0" applyProtection="0"/>
    <xf numFmtId="0" fontId="35" fillId="45" borderId="41" applyNumberFormat="0" applyFont="0" applyAlignment="0" applyProtection="0"/>
    <xf numFmtId="0" fontId="35" fillId="45" borderId="41" applyNumberFormat="0" applyFont="0" applyAlignment="0" applyProtection="0"/>
    <xf numFmtId="0" fontId="35" fillId="45" borderId="41" applyNumberFormat="0" applyFont="0" applyAlignment="0" applyProtection="0"/>
    <xf numFmtId="0" fontId="35" fillId="45" borderId="41" applyNumberFormat="0" applyFont="0" applyAlignment="0" applyProtection="0"/>
    <xf numFmtId="0" fontId="87" fillId="56" borderId="42" applyNumberFormat="0" applyAlignment="0" applyProtection="0"/>
    <xf numFmtId="0" fontId="88" fillId="0" borderId="0" applyNumberFormat="0" applyFill="0" applyBorder="0" applyAlignment="0" applyProtection="0"/>
    <xf numFmtId="0" fontId="35" fillId="58" borderId="0" applyFont="0" applyFill="0" applyBorder="0" applyAlignment="0" applyProtection="0"/>
    <xf numFmtId="0" fontId="35" fillId="58" borderId="0" applyFont="0" applyFill="0" applyBorder="0" applyAlignment="0" applyProtection="0"/>
    <xf numFmtId="0" fontId="35" fillId="58" borderId="0" applyFont="0" applyFill="0" applyBorder="0" applyAlignment="0" applyProtection="0"/>
    <xf numFmtId="0" fontId="35" fillId="58" borderId="0" applyFont="0" applyFill="0" applyBorder="0" applyAlignment="0" applyProtection="0"/>
    <xf numFmtId="0" fontId="69" fillId="0" borderId="0" applyNumberForma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89" fillId="0" borderId="0" applyNumberFormat="0" applyFill="0" applyBorder="0" applyAlignment="0" applyProtection="0"/>
    <xf numFmtId="0" fontId="90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0" fontId="79" fillId="0" borderId="30" applyNumberFormat="0" applyFill="0" applyAlignment="0" applyProtection="0"/>
    <xf numFmtId="0" fontId="80" fillId="0" borderId="31" applyNumberFormat="0" applyFill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90" fillId="0" borderId="0"/>
    <xf numFmtId="0" fontId="90" fillId="0" borderId="0"/>
    <xf numFmtId="0" fontId="7" fillId="0" borderId="0"/>
    <xf numFmtId="0" fontId="7" fillId="0" borderId="0"/>
    <xf numFmtId="0" fontId="90" fillId="0" borderId="0"/>
    <xf numFmtId="0" fontId="62" fillId="59" borderId="44" applyNumberFormat="0" applyFont="0" applyAlignment="0" applyProtection="0"/>
    <xf numFmtId="0" fontId="92" fillId="15" borderId="43" applyNumberFormat="0" applyAlignment="0" applyProtection="0"/>
    <xf numFmtId="9" fontId="3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93" fillId="0" borderId="45" applyNumberFormat="0" applyFill="0" applyAlignment="0" applyProtection="0"/>
    <xf numFmtId="0" fontId="94" fillId="0" borderId="0" applyNumberFormat="0" applyFill="0" applyBorder="0" applyAlignment="0" applyProtection="0"/>
    <xf numFmtId="0" fontId="90" fillId="0" borderId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44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7" fillId="0" borderId="0"/>
    <xf numFmtId="43" fontId="20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7" fillId="0" borderId="0"/>
    <xf numFmtId="9" fontId="20" fillId="0" borderId="0" applyFont="0" applyFill="0" applyBorder="0" applyAlignment="0" applyProtection="0"/>
    <xf numFmtId="0" fontId="7" fillId="0" borderId="0"/>
    <xf numFmtId="43" fontId="27" fillId="0" borderId="0" applyFont="0" applyFill="0" applyBorder="0" applyAlignment="0" applyProtection="0"/>
    <xf numFmtId="4" fontId="20" fillId="0" borderId="0"/>
    <xf numFmtId="0" fontId="86" fillId="0" borderId="0"/>
    <xf numFmtId="0" fontId="60" fillId="0" borderId="0"/>
    <xf numFmtId="0" fontId="27" fillId="0" borderId="0"/>
    <xf numFmtId="0" fontId="85" fillId="0" borderId="0">
      <alignment vertical="top"/>
    </xf>
    <xf numFmtId="0" fontId="20" fillId="0" borderId="0" applyBorder="0"/>
    <xf numFmtId="9" fontId="85" fillId="0" borderId="0" applyFont="0" applyFill="0" applyBorder="0" applyAlignment="0" applyProtection="0"/>
    <xf numFmtId="3" fontId="20" fillId="0" borderId="0"/>
    <xf numFmtId="5" fontId="20" fillId="0" borderId="0"/>
    <xf numFmtId="14" fontId="20" fillId="0" borderId="0"/>
    <xf numFmtId="2" fontId="20" fillId="0" borderId="0"/>
    <xf numFmtId="0" fontId="20" fillId="0" borderId="0"/>
    <xf numFmtId="0" fontId="20" fillId="0" borderId="0" applyBorder="0"/>
    <xf numFmtId="0" fontId="20" fillId="0" borderId="40"/>
    <xf numFmtId="43" fontId="35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13" fillId="0" borderId="0"/>
    <xf numFmtId="43" fontId="20" fillId="0" borderId="0" applyFont="0" applyFill="0" applyBorder="0" applyAlignment="0" applyProtection="0"/>
    <xf numFmtId="0" fontId="90" fillId="0" borderId="0"/>
    <xf numFmtId="43" fontId="20" fillId="0" borderId="0" applyFont="0" applyFill="0" applyBorder="0" applyAlignment="0" applyProtection="0"/>
    <xf numFmtId="43" fontId="62" fillId="0" borderId="0" applyFont="0" applyFill="0" applyBorder="0" applyAlignment="0" applyProtection="0"/>
    <xf numFmtId="0" fontId="79" fillId="0" borderId="30" applyNumberFormat="0" applyFill="0" applyAlignment="0" applyProtection="0"/>
    <xf numFmtId="0" fontId="80" fillId="0" borderId="31" applyNumberFormat="0" applyFill="0" applyAlignment="0" applyProtection="0"/>
    <xf numFmtId="0" fontId="90" fillId="0" borderId="0"/>
    <xf numFmtId="0" fontId="90" fillId="0" borderId="0"/>
    <xf numFmtId="0" fontId="7" fillId="0" borderId="0"/>
    <xf numFmtId="0" fontId="7" fillId="0" borderId="0"/>
    <xf numFmtId="0" fontId="90" fillId="0" borderId="0"/>
    <xf numFmtId="9" fontId="62" fillId="0" borderId="0" applyFont="0" applyFill="0" applyBorder="0" applyAlignment="0" applyProtection="0"/>
    <xf numFmtId="0" fontId="93" fillId="0" borderId="45" applyNumberFormat="0" applyFill="0" applyAlignment="0" applyProtection="0"/>
    <xf numFmtId="0" fontId="7" fillId="0" borderId="0"/>
    <xf numFmtId="0" fontId="7" fillId="0" borderId="0"/>
    <xf numFmtId="167" fontId="27" fillId="0" borderId="0"/>
    <xf numFmtId="14" fontId="20" fillId="0" borderId="0"/>
    <xf numFmtId="3" fontId="20" fillId="0" borderId="0"/>
    <xf numFmtId="43" fontId="27" fillId="0" borderId="0" applyFont="0" applyFill="0" applyBorder="0" applyAlignment="0" applyProtection="0"/>
    <xf numFmtId="0" fontId="20" fillId="0" borderId="40"/>
    <xf numFmtId="2" fontId="20" fillId="0" borderId="0"/>
    <xf numFmtId="0" fontId="20" fillId="0" borderId="0" applyBorder="0"/>
    <xf numFmtId="167" fontId="20" fillId="0" borderId="0"/>
    <xf numFmtId="4" fontId="20" fillId="0" borderId="0"/>
    <xf numFmtId="5" fontId="20" fillId="0" borderId="0"/>
    <xf numFmtId="167" fontId="7" fillId="0" borderId="0"/>
    <xf numFmtId="43" fontId="35" fillId="0" borderId="0" applyFont="0" applyFill="0" applyBorder="0" applyAlignment="0" applyProtection="0"/>
    <xf numFmtId="0" fontId="95" fillId="0" borderId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0" fontId="5" fillId="39" borderId="0" applyNumberFormat="0" applyBorder="0" applyAlignment="0" applyProtection="0"/>
    <xf numFmtId="43" fontId="2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6" fillId="0" borderId="0"/>
    <xf numFmtId="43" fontId="20" fillId="0" borderId="0" applyFont="0" applyFill="0" applyBorder="0" applyAlignment="0" applyProtection="0"/>
    <xf numFmtId="0" fontId="4" fillId="0" borderId="0"/>
    <xf numFmtId="0" fontId="13" fillId="0" borderId="0"/>
    <xf numFmtId="9" fontId="13" fillId="0" borderId="0" applyFont="0" applyFill="0" applyBorder="0" applyAlignment="0" applyProtection="0"/>
    <xf numFmtId="0" fontId="114" fillId="0" borderId="30" applyNumberFormat="0" applyFill="0" applyAlignment="0" applyProtection="0"/>
    <xf numFmtId="0" fontId="115" fillId="0" borderId="31" applyNumberFormat="0" applyFill="0" applyAlignment="0" applyProtection="0"/>
    <xf numFmtId="0" fontId="116" fillId="0" borderId="32" applyNumberFormat="0" applyFill="0" applyAlignment="0" applyProtection="0"/>
    <xf numFmtId="0" fontId="116" fillId="0" borderId="0" applyNumberFormat="0" applyFill="0" applyBorder="0" applyAlignment="0" applyProtection="0"/>
    <xf numFmtId="0" fontId="117" fillId="11" borderId="0" applyNumberFormat="0" applyBorder="0" applyAlignment="0" applyProtection="0"/>
    <xf numFmtId="0" fontId="118" fillId="12" borderId="0" applyNumberFormat="0" applyBorder="0" applyAlignment="0" applyProtection="0"/>
    <xf numFmtId="0" fontId="119" fillId="13" borderId="0" applyNumberFormat="0" applyBorder="0" applyAlignment="0" applyProtection="0"/>
    <xf numFmtId="0" fontId="120" fillId="14" borderId="33" applyNumberFormat="0" applyAlignment="0" applyProtection="0"/>
    <xf numFmtId="0" fontId="121" fillId="15" borderId="43" applyNumberFormat="0" applyAlignment="0" applyProtection="0"/>
    <xf numFmtId="0" fontId="122" fillId="15" borderId="33" applyNumberFormat="0" applyAlignment="0" applyProtection="0"/>
    <xf numFmtId="0" fontId="123" fillId="0" borderId="34" applyNumberFormat="0" applyFill="0" applyAlignment="0" applyProtection="0"/>
    <xf numFmtId="0" fontId="124" fillId="16" borderId="35" applyNumberFormat="0" applyAlignment="0" applyProtection="0"/>
    <xf numFmtId="0" fontId="125" fillId="0" borderId="0" applyNumberFormat="0" applyFill="0" applyBorder="0" applyAlignment="0" applyProtection="0"/>
    <xf numFmtId="0" fontId="13" fillId="59" borderId="44" applyNumberFormat="0" applyFont="0" applyAlignment="0" applyProtection="0"/>
    <xf numFmtId="0" fontId="126" fillId="0" borderId="0" applyNumberFormat="0" applyFill="0" applyBorder="0" applyAlignment="0" applyProtection="0"/>
    <xf numFmtId="0" fontId="10" fillId="0" borderId="45" applyNumberFormat="0" applyFill="0" applyAlignment="0" applyProtection="0"/>
    <xf numFmtId="0" fontId="127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27" fillId="20" borderId="0" applyNumberFormat="0" applyBorder="0" applyAlignment="0" applyProtection="0"/>
    <xf numFmtId="0" fontId="127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27" fillId="24" borderId="0" applyNumberFormat="0" applyBorder="0" applyAlignment="0" applyProtection="0"/>
    <xf numFmtId="0" fontId="127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27" fillId="28" borderId="0" applyNumberFormat="0" applyBorder="0" applyAlignment="0" applyProtection="0"/>
    <xf numFmtId="0" fontId="127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127" fillId="32" borderId="0" applyNumberFormat="0" applyBorder="0" applyAlignment="0" applyProtection="0"/>
    <xf numFmtId="0" fontId="127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5" borderId="0" applyNumberFormat="0" applyBorder="0" applyAlignment="0" applyProtection="0"/>
    <xf numFmtId="0" fontId="127" fillId="36" borderId="0" applyNumberFormat="0" applyBorder="0" applyAlignment="0" applyProtection="0"/>
    <xf numFmtId="0" fontId="127" fillId="37" borderId="0" applyNumberFormat="0" applyBorder="0" applyAlignment="0" applyProtection="0"/>
    <xf numFmtId="0" fontId="13" fillId="38" borderId="0" applyNumberFormat="0" applyBorder="0" applyAlignment="0" applyProtection="0"/>
    <xf numFmtId="0" fontId="13" fillId="39" borderId="0" applyNumberFormat="0" applyBorder="0" applyAlignment="0" applyProtection="0"/>
    <xf numFmtId="0" fontId="127" fillId="40" borderId="0" applyNumberFormat="0" applyBorder="0" applyAlignment="0" applyProtection="0"/>
    <xf numFmtId="0" fontId="13" fillId="0" borderId="0"/>
    <xf numFmtId="44" fontId="20" fillId="0" borderId="0" applyFont="0" applyFill="0" applyBorder="0" applyAlignment="0" applyProtection="0"/>
    <xf numFmtId="0" fontId="135" fillId="0" borderId="0" applyNumberFormat="0" applyFill="0" applyBorder="0" applyAlignment="0" applyProtection="0"/>
    <xf numFmtId="0" fontId="13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20" fillId="0" borderId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0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4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1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5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3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811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3" fontId="0" fillId="0" borderId="0" xfId="0" applyNumberFormat="1" applyBorder="1"/>
    <xf numFmtId="164" fontId="0" fillId="0" borderId="0" xfId="0" applyNumberFormat="1"/>
    <xf numFmtId="164" fontId="0" fillId="2" borderId="0" xfId="0" applyNumberFormat="1" applyFill="1" applyBorder="1"/>
    <xf numFmtId="0" fontId="0" fillId="0" borderId="2" xfId="0" applyBorder="1" applyAlignment="1">
      <alignment wrapText="1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9" xfId="0" applyBorder="1" applyAlignment="1">
      <alignment wrapText="1"/>
    </xf>
    <xf numFmtId="3" fontId="0" fillId="0" borderId="0" xfId="0" applyNumberFormat="1" applyBorder="1" applyAlignment="1"/>
    <xf numFmtId="164" fontId="0" fillId="0" borderId="0" xfId="1" applyNumberFormat="1" applyFont="1" applyBorder="1"/>
    <xf numFmtId="3" fontId="0" fillId="0" borderId="15" xfId="0" applyNumberFormat="1" applyBorder="1"/>
    <xf numFmtId="0" fontId="0" fillId="0" borderId="12" xfId="0" applyBorder="1"/>
    <xf numFmtId="0" fontId="0" fillId="0" borderId="2" xfId="0" applyBorder="1"/>
    <xf numFmtId="0" fontId="0" fillId="0" borderId="13" xfId="0" applyBorder="1"/>
    <xf numFmtId="165" fontId="0" fillId="0" borderId="0" xfId="0" applyNumberFormat="1"/>
    <xf numFmtId="0" fontId="17" fillId="0" borderId="16" xfId="0" applyFont="1" applyBorder="1" applyAlignment="1">
      <alignment horizontal="center"/>
    </xf>
    <xf numFmtId="0" fontId="17" fillId="0" borderId="4" xfId="0" applyFont="1" applyBorder="1" applyAlignment="1">
      <alignment horizontal="center" wrapText="1"/>
    </xf>
    <xf numFmtId="0" fontId="17" fillId="0" borderId="17" xfId="0" applyFont="1" applyBorder="1" applyAlignment="1">
      <alignment horizontal="center" wrapText="1"/>
    </xf>
    <xf numFmtId="0" fontId="21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3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0" borderId="5" xfId="0" applyFont="1" applyBorder="1" applyAlignment="1">
      <alignment vertical="center"/>
    </xf>
    <xf numFmtId="0" fontId="16" fillId="0" borderId="3" xfId="0" applyFont="1" applyBorder="1" applyAlignment="1">
      <alignment horizontal="center" vertical="center"/>
    </xf>
    <xf numFmtId="0" fontId="0" fillId="0" borderId="3" xfId="0" applyBorder="1"/>
    <xf numFmtId="0" fontId="16" fillId="0" borderId="11" xfId="0" applyFont="1" applyBorder="1" applyAlignment="1">
      <alignment vertical="center"/>
    </xf>
    <xf numFmtId="0" fontId="16" fillId="0" borderId="20" xfId="0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6" fillId="0" borderId="0" xfId="0" applyNumberFormat="1" applyFont="1" applyFill="1" applyAlignment="1">
      <alignment horizontal="center" vertical="center"/>
    </xf>
    <xf numFmtId="164" fontId="16" fillId="0" borderId="0" xfId="0" applyNumberFormat="1" applyFont="1" applyFill="1" applyBorder="1" applyAlignment="1">
      <alignment horizontal="center" vertical="center"/>
    </xf>
    <xf numFmtId="164" fontId="22" fillId="0" borderId="0" xfId="0" applyNumberFormat="1" applyFont="1" applyFill="1" applyAlignment="1">
      <alignment horizontal="center" vertical="center"/>
    </xf>
    <xf numFmtId="0" fontId="16" fillId="0" borderId="5" xfId="0" applyFont="1" applyBorder="1" applyAlignment="1">
      <alignment vertical="center" wrapText="1"/>
    </xf>
    <xf numFmtId="0" fontId="21" fillId="0" borderId="9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10" xfId="0" applyFont="1" applyBorder="1" applyAlignment="1">
      <alignment vertical="center"/>
    </xf>
    <xf numFmtId="0" fontId="16" fillId="0" borderId="9" xfId="0" applyFont="1" applyBorder="1" applyAlignment="1">
      <alignment vertical="center"/>
    </xf>
    <xf numFmtId="164" fontId="16" fillId="0" borderId="0" xfId="0" applyNumberFormat="1" applyFont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164" fontId="22" fillId="0" borderId="0" xfId="0" applyNumberFormat="1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32" fillId="0" borderId="0" xfId="0" applyFont="1" applyAlignment="1">
      <alignment horizontal="left"/>
    </xf>
    <xf numFmtId="0" fontId="32" fillId="0" borderId="0" xfId="0" applyFont="1"/>
    <xf numFmtId="0" fontId="32" fillId="0" borderId="0" xfId="0" applyFont="1" applyAlignment="1">
      <alignment horizontal="right"/>
    </xf>
    <xf numFmtId="0" fontId="33" fillId="0" borderId="2" xfId="0" applyFont="1" applyBorder="1" applyAlignment="1">
      <alignment horizontal="center"/>
    </xf>
    <xf numFmtId="0" fontId="32" fillId="0" borderId="2" xfId="0" applyFont="1" applyBorder="1"/>
    <xf numFmtId="0" fontId="32" fillId="0" borderId="13" xfId="0" applyFont="1" applyBorder="1"/>
    <xf numFmtId="0" fontId="32" fillId="0" borderId="2" xfId="0" applyFont="1" applyBorder="1" applyAlignment="1">
      <alignment horizontal="center" wrapText="1"/>
    </xf>
    <xf numFmtId="0" fontId="33" fillId="0" borderId="0" xfId="0" applyFont="1" applyFill="1" applyBorder="1" applyAlignment="1">
      <alignment horizontal="left"/>
    </xf>
    <xf numFmtId="3" fontId="32" fillId="0" borderId="0" xfId="0" applyNumberFormat="1" applyFont="1"/>
    <xf numFmtId="3" fontId="32" fillId="0" borderId="15" xfId="0" applyNumberFormat="1" applyFont="1" applyBorder="1"/>
    <xf numFmtId="0" fontId="32" fillId="0" borderId="15" xfId="0" applyFont="1" applyBorder="1"/>
    <xf numFmtId="165" fontId="32" fillId="0" borderId="0" xfId="2" applyNumberFormat="1" applyFont="1"/>
    <xf numFmtId="165" fontId="32" fillId="0" borderId="15" xfId="2" applyNumberFormat="1" applyFont="1" applyBorder="1"/>
    <xf numFmtId="165" fontId="32" fillId="0" borderId="0" xfId="2" applyNumberFormat="1" applyFont="1" applyAlignment="1">
      <alignment horizontal="right"/>
    </xf>
    <xf numFmtId="0" fontId="32" fillId="0" borderId="0" xfId="0" applyFont="1" applyFill="1"/>
    <xf numFmtId="0" fontId="32" fillId="0" borderId="0" xfId="0" applyFont="1" applyFill="1" applyAlignment="1">
      <alignment horizontal="left"/>
    </xf>
    <xf numFmtId="165" fontId="32" fillId="0" borderId="0" xfId="2" applyNumberFormat="1" applyFont="1" applyFill="1"/>
    <xf numFmtId="0" fontId="32" fillId="6" borderId="0" xfId="0" applyFont="1" applyFill="1"/>
    <xf numFmtId="0" fontId="17" fillId="0" borderId="14" xfId="0" applyFont="1" applyFill="1" applyBorder="1" applyAlignment="1">
      <alignment horizontal="center"/>
    </xf>
    <xf numFmtId="3" fontId="17" fillId="0" borderId="0" xfId="0" applyNumberFormat="1" applyFont="1" applyFill="1" applyBorder="1"/>
    <xf numFmtId="164" fontId="17" fillId="0" borderId="0" xfId="1" applyNumberFormat="1" applyFont="1" applyFill="1" applyBorder="1"/>
    <xf numFmtId="164" fontId="17" fillId="0" borderId="15" xfId="1" applyNumberFormat="1" applyFont="1" applyFill="1" applyBorder="1"/>
    <xf numFmtId="3" fontId="0" fillId="0" borderId="0" xfId="0" applyNumberFormat="1" applyAlignment="1">
      <alignment horizontal="center"/>
    </xf>
    <xf numFmtId="0" fontId="32" fillId="0" borderId="0" xfId="0" applyFont="1" applyBorder="1" applyAlignment="1">
      <alignment horizontal="center"/>
    </xf>
    <xf numFmtId="0" fontId="32" fillId="0" borderId="0" xfId="0" applyFont="1" applyBorder="1" applyAlignment="1">
      <alignment horizontal="center" wrapText="1"/>
    </xf>
    <xf numFmtId="165" fontId="32" fillId="0" borderId="0" xfId="0" applyNumberFormat="1" applyFont="1"/>
    <xf numFmtId="0" fontId="10" fillId="0" borderId="0" xfId="13" applyFont="1"/>
    <xf numFmtId="0" fontId="20" fillId="0" borderId="0" xfId="13"/>
    <xf numFmtId="0" fontId="13" fillId="0" borderId="0" xfId="13" applyFont="1"/>
    <xf numFmtId="3" fontId="40" fillId="0" borderId="0" xfId="13" applyNumberFormat="1" applyFont="1" applyBorder="1" applyAlignment="1">
      <alignment horizontal="left"/>
    </xf>
    <xf numFmtId="3" fontId="40" fillId="0" borderId="4" xfId="13" applyNumberFormat="1" applyFont="1" applyBorder="1" applyAlignment="1">
      <alignment horizontal="center"/>
    </xf>
    <xf numFmtId="3" fontId="40" fillId="0" borderId="4" xfId="13" applyNumberFormat="1" applyFont="1" applyBorder="1" applyAlignment="1"/>
    <xf numFmtId="3" fontId="40" fillId="0" borderId="0" xfId="13" applyNumberFormat="1" applyFont="1" applyBorder="1" applyAlignment="1"/>
    <xf numFmtId="3" fontId="41" fillId="0" borderId="0" xfId="13" applyNumberFormat="1" applyFont="1" applyAlignment="1">
      <alignment horizontal="center"/>
    </xf>
    <xf numFmtId="3" fontId="40" fillId="2" borderId="28" xfId="13" applyNumberFormat="1" applyFont="1" applyFill="1" applyBorder="1" applyAlignment="1">
      <alignment horizontal="center" wrapText="1"/>
    </xf>
    <xf numFmtId="3" fontId="10" fillId="2" borderId="28" xfId="13" applyNumberFormat="1" applyFont="1" applyFill="1" applyBorder="1" applyAlignment="1">
      <alignment horizontal="center" wrapText="1"/>
    </xf>
    <xf numFmtId="0" fontId="10" fillId="2" borderId="28" xfId="13" applyFont="1" applyFill="1" applyBorder="1" applyAlignment="1">
      <alignment horizontal="center" wrapText="1"/>
    </xf>
    <xf numFmtId="0" fontId="13" fillId="0" borderId="0" xfId="13" applyFont="1" applyFill="1" applyAlignment="1">
      <alignment horizontal="center"/>
    </xf>
    <xf numFmtId="3" fontId="13" fillId="0" borderId="0" xfId="13" applyNumberFormat="1" applyFont="1" applyFill="1" applyAlignment="1">
      <alignment horizontal="center"/>
    </xf>
    <xf numFmtId="3" fontId="13" fillId="9" borderId="0" xfId="13" applyNumberFormat="1" applyFont="1" applyFill="1" applyAlignment="1">
      <alignment horizontal="center"/>
    </xf>
    <xf numFmtId="2" fontId="0" fillId="0" borderId="0" xfId="0" applyNumberFormat="1"/>
    <xf numFmtId="0" fontId="0" fillId="0" borderId="0" xfId="0" applyFill="1"/>
    <xf numFmtId="0" fontId="45" fillId="0" borderId="0" xfId="0" applyFont="1" applyAlignment="1">
      <alignment vertical="center"/>
    </xf>
    <xf numFmtId="0" fontId="28" fillId="0" borderId="6" xfId="0" applyFont="1" applyBorder="1" applyAlignment="1">
      <alignment vertical="center"/>
    </xf>
    <xf numFmtId="0" fontId="47" fillId="0" borderId="7" xfId="0" applyFont="1" applyBorder="1" applyAlignment="1">
      <alignment horizontal="center" vertical="center"/>
    </xf>
    <xf numFmtId="0" fontId="47" fillId="0" borderId="8" xfId="0" applyFont="1" applyBorder="1" applyAlignment="1">
      <alignment horizontal="center" vertical="center"/>
    </xf>
    <xf numFmtId="0" fontId="28" fillId="0" borderId="10" xfId="0" applyFont="1" applyBorder="1" applyAlignment="1">
      <alignment vertical="center"/>
    </xf>
    <xf numFmtId="0" fontId="47" fillId="0" borderId="3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0" fontId="47" fillId="0" borderId="9" xfId="0" applyFont="1" applyBorder="1" applyAlignment="1">
      <alignment vertical="center"/>
    </xf>
    <xf numFmtId="3" fontId="47" fillId="0" borderId="0" xfId="0" applyNumberFormat="1" applyFont="1" applyAlignment="1">
      <alignment horizontal="right" vertical="center"/>
    </xf>
    <xf numFmtId="3" fontId="47" fillId="0" borderId="5" xfId="0" applyNumberFormat="1" applyFont="1" applyBorder="1" applyAlignment="1">
      <alignment horizontal="right" vertical="center"/>
    </xf>
    <xf numFmtId="0" fontId="48" fillId="0" borderId="9" xfId="0" applyFont="1" applyBorder="1" applyAlignment="1">
      <alignment horizontal="right" vertical="center"/>
    </xf>
    <xf numFmtId="3" fontId="28" fillId="0" borderId="0" xfId="0" applyNumberFormat="1" applyFont="1" applyAlignment="1">
      <alignment horizontal="right" vertical="center"/>
    </xf>
    <xf numFmtId="3" fontId="28" fillId="0" borderId="5" xfId="0" applyNumberFormat="1" applyFont="1" applyBorder="1" applyAlignment="1">
      <alignment horizontal="right" vertical="center"/>
    </xf>
    <xf numFmtId="0" fontId="48" fillId="0" borderId="9" xfId="0" applyFont="1" applyBorder="1" applyAlignment="1">
      <alignment horizontal="center" vertical="center"/>
    </xf>
    <xf numFmtId="3" fontId="48" fillId="0" borderId="0" xfId="0" applyNumberFormat="1" applyFont="1" applyAlignment="1">
      <alignment horizontal="right" vertical="center"/>
    </xf>
    <xf numFmtId="3" fontId="48" fillId="0" borderId="5" xfId="0" applyNumberFormat="1" applyFont="1" applyBorder="1" applyAlignment="1">
      <alignment horizontal="right" vertical="center"/>
    </xf>
    <xf numFmtId="0" fontId="28" fillId="0" borderId="9" xfId="0" applyFont="1" applyBorder="1" applyAlignment="1">
      <alignment horizontal="center" vertical="center"/>
    </xf>
    <xf numFmtId="0" fontId="47" fillId="0" borderId="9" xfId="0" applyFont="1" applyBorder="1" applyAlignment="1">
      <alignment horizontal="center" vertical="center"/>
    </xf>
    <xf numFmtId="0" fontId="48" fillId="0" borderId="10" xfId="0" applyFont="1" applyBorder="1" applyAlignment="1">
      <alignment horizontal="center" vertical="center"/>
    </xf>
    <xf numFmtId="3" fontId="28" fillId="0" borderId="3" xfId="0" applyNumberFormat="1" applyFont="1" applyBorder="1" applyAlignment="1">
      <alignment horizontal="right" vertical="center"/>
    </xf>
    <xf numFmtId="3" fontId="28" fillId="0" borderId="11" xfId="0" applyNumberFormat="1" applyFont="1" applyBorder="1" applyAlignment="1">
      <alignment horizontal="right" vertical="center"/>
    </xf>
    <xf numFmtId="164" fontId="0" fillId="0" borderId="0" xfId="0" applyNumberFormat="1" applyFill="1" applyBorder="1"/>
    <xf numFmtId="0" fontId="19" fillId="0" borderId="29" xfId="0" applyFont="1" applyBorder="1" applyAlignment="1">
      <alignment horizontal="center"/>
    </xf>
    <xf numFmtId="164" fontId="16" fillId="5" borderId="0" xfId="0" applyNumberFormat="1" applyFont="1" applyFill="1" applyAlignment="1">
      <alignment horizontal="center" vertical="center"/>
    </xf>
    <xf numFmtId="0" fontId="26" fillId="0" borderId="0" xfId="0" applyFont="1" applyAlignment="1">
      <alignment vertical="center" wrapText="1"/>
    </xf>
    <xf numFmtId="0" fontId="49" fillId="0" borderId="0" xfId="0" applyFont="1" applyAlignment="1">
      <alignment horizontal="center" vertical="center"/>
    </xf>
    <xf numFmtId="0" fontId="50" fillId="0" borderId="5" xfId="0" applyFont="1" applyBorder="1" applyAlignment="1">
      <alignment vertical="center"/>
    </xf>
    <xf numFmtId="0" fontId="50" fillId="0" borderId="0" xfId="0" applyFont="1" applyAlignment="1">
      <alignment horizontal="center" vertical="center"/>
    </xf>
    <xf numFmtId="0" fontId="50" fillId="0" borderId="3" xfId="0" applyFont="1" applyBorder="1" applyAlignment="1">
      <alignment horizontal="center" vertical="center"/>
    </xf>
    <xf numFmtId="0" fontId="50" fillId="0" borderId="11" xfId="0" applyFont="1" applyBorder="1" applyAlignment="1">
      <alignment vertical="center"/>
    </xf>
    <xf numFmtId="10" fontId="50" fillId="0" borderId="0" xfId="0" applyNumberFormat="1" applyFont="1" applyAlignment="1">
      <alignment horizontal="center" vertical="center"/>
    </xf>
    <xf numFmtId="9" fontId="50" fillId="0" borderId="0" xfId="0" applyNumberFormat="1" applyFont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0" fillId="0" borderId="5" xfId="0" applyFont="1" applyBorder="1" applyAlignment="1">
      <alignment vertical="center" wrapText="1"/>
    </xf>
    <xf numFmtId="0" fontId="50" fillId="0" borderId="3" xfId="0" applyFont="1" applyBorder="1" applyAlignment="1">
      <alignment vertical="center" wrapText="1"/>
    </xf>
    <xf numFmtId="10" fontId="50" fillId="0" borderId="3" xfId="0" applyNumberFormat="1" applyFont="1" applyBorder="1" applyAlignment="1">
      <alignment horizontal="center" vertical="center"/>
    </xf>
    <xf numFmtId="3" fontId="0" fillId="0" borderId="0" xfId="13" applyNumberFormat="1" applyFont="1" applyFill="1" applyAlignment="1">
      <alignment horizontal="center"/>
    </xf>
    <xf numFmtId="3" fontId="41" fillId="2" borderId="0" xfId="0" applyNumberFormat="1" applyFont="1" applyFill="1" applyAlignment="1">
      <alignment horizontal="center"/>
    </xf>
    <xf numFmtId="3" fontId="41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47" fillId="0" borderId="3" xfId="0" applyFont="1" applyBorder="1" applyAlignment="1">
      <alignment horizontal="center" vertical="center" wrapText="1"/>
    </xf>
    <xf numFmtId="3" fontId="28" fillId="0" borderId="0" xfId="0" applyNumberFormat="1" applyFont="1" applyAlignment="1">
      <alignment horizontal="center" vertical="center" wrapText="1"/>
    </xf>
    <xf numFmtId="3" fontId="28" fillId="0" borderId="0" xfId="0" applyNumberFormat="1" applyFont="1" applyAlignment="1">
      <alignment horizontal="center" vertical="center"/>
    </xf>
    <xf numFmtId="0" fontId="28" fillId="0" borderId="3" xfId="0" applyFont="1" applyBorder="1" applyAlignment="1">
      <alignment vertical="center"/>
    </xf>
    <xf numFmtId="3" fontId="28" fillId="0" borderId="0" xfId="0" applyNumberFormat="1" applyFont="1" applyFill="1" applyAlignment="1">
      <alignment horizontal="center" vertical="center"/>
    </xf>
    <xf numFmtId="0" fontId="28" fillId="0" borderId="3" xfId="0" applyFont="1" applyBorder="1" applyAlignment="1">
      <alignment horizontal="center" vertical="center" wrapText="1"/>
    </xf>
    <xf numFmtId="3" fontId="28" fillId="0" borderId="0" xfId="0" applyNumberFormat="1" applyFont="1" applyFill="1" applyBorder="1" applyAlignment="1">
      <alignment horizontal="center" vertical="center" wrapText="1"/>
    </xf>
    <xf numFmtId="0" fontId="17" fillId="0" borderId="0" xfId="0" applyFont="1"/>
    <xf numFmtId="3" fontId="56" fillId="0" borderId="0" xfId="0" applyNumberFormat="1" applyFont="1" applyAlignment="1">
      <alignment horizontal="center"/>
    </xf>
    <xf numFmtId="3" fontId="57" fillId="0" borderId="0" xfId="0" applyNumberFormat="1" applyFont="1" applyAlignment="1">
      <alignment horizontal="center"/>
    </xf>
    <xf numFmtId="3" fontId="56" fillId="5" borderId="0" xfId="0" applyNumberFormat="1" applyFont="1" applyFill="1" applyAlignment="1">
      <alignment horizontal="center"/>
    </xf>
    <xf numFmtId="3" fontId="56" fillId="0" borderId="0" xfId="0" applyNumberFormat="1" applyFont="1" applyFill="1" applyAlignment="1">
      <alignment horizontal="center"/>
    </xf>
    <xf numFmtId="164" fontId="56" fillId="0" borderId="0" xfId="0" applyNumberFormat="1" applyFont="1" applyFill="1" applyAlignment="1">
      <alignment horizontal="center"/>
    </xf>
    <xf numFmtId="0" fontId="0" fillId="5" borderId="0" xfId="0" applyFill="1"/>
    <xf numFmtId="3" fontId="28" fillId="5" borderId="0" xfId="0" applyNumberFormat="1" applyFont="1" applyFill="1" applyAlignment="1">
      <alignment horizontal="center" vertical="center"/>
    </xf>
    <xf numFmtId="3" fontId="28" fillId="5" borderId="0" xfId="0" applyNumberFormat="1" applyFont="1" applyFill="1" applyBorder="1" applyAlignment="1">
      <alignment horizontal="center" vertical="center" wrapText="1"/>
    </xf>
    <xf numFmtId="3" fontId="0" fillId="0" borderId="0" xfId="0" applyNumberFormat="1" applyFill="1"/>
    <xf numFmtId="2" fontId="0" fillId="0" borderId="0" xfId="0" applyNumberFormat="1" applyFill="1"/>
    <xf numFmtId="0" fontId="0" fillId="41" borderId="0" xfId="0" applyFill="1"/>
    <xf numFmtId="0" fontId="10" fillId="41" borderId="0" xfId="0" applyFont="1" applyFill="1"/>
    <xf numFmtId="0" fontId="17" fillId="0" borderId="18" xfId="0" applyFont="1" applyFill="1" applyBorder="1"/>
    <xf numFmtId="0" fontId="17" fillId="0" borderId="2" xfId="0" applyFont="1" applyFill="1" applyBorder="1"/>
    <xf numFmtId="0" fontId="17" fillId="0" borderId="13" xfId="0" applyFont="1" applyFill="1" applyBorder="1"/>
    <xf numFmtId="0" fontId="17" fillId="0" borderId="16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 wrapText="1"/>
    </xf>
    <xf numFmtId="0" fontId="17" fillId="0" borderId="17" xfId="0" applyFont="1" applyFill="1" applyBorder="1" applyAlignment="1">
      <alignment horizontal="center" wrapText="1"/>
    </xf>
    <xf numFmtId="0" fontId="0" fillId="0" borderId="14" xfId="0" applyFill="1" applyBorder="1"/>
    <xf numFmtId="0" fontId="0" fillId="0" borderId="0" xfId="0" applyFill="1" applyBorder="1"/>
    <xf numFmtId="0" fontId="0" fillId="0" borderId="15" xfId="0" applyFill="1" applyBorder="1"/>
    <xf numFmtId="0" fontId="17" fillId="0" borderId="14" xfId="0" applyFont="1" applyFill="1" applyBorder="1"/>
    <xf numFmtId="0" fontId="17" fillId="0" borderId="4" xfId="0" applyFont="1" applyFill="1" applyBorder="1"/>
    <xf numFmtId="0" fontId="17" fillId="0" borderId="17" xfId="0" applyFont="1" applyFill="1" applyBorder="1"/>
    <xf numFmtId="0" fontId="17" fillId="0" borderId="4" xfId="0" applyFont="1" applyFill="1" applyBorder="1" applyAlignment="1"/>
    <xf numFmtId="1" fontId="17" fillId="0" borderId="0" xfId="0" applyNumberFormat="1" applyFont="1" applyFill="1" applyBorder="1"/>
    <xf numFmtId="165" fontId="17" fillId="0" borderId="0" xfId="0" applyNumberFormat="1" applyFont="1" applyFill="1" applyBorder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3" fontId="20" fillId="0" borderId="0" xfId="0" applyNumberFormat="1" applyFont="1" applyFill="1"/>
    <xf numFmtId="165" fontId="0" fillId="0" borderId="0" xfId="0" applyNumberFormat="1" applyFill="1"/>
    <xf numFmtId="0" fontId="19" fillId="0" borderId="21" xfId="0" applyFont="1" applyBorder="1" applyAlignment="1">
      <alignment horizontal="center"/>
    </xf>
    <xf numFmtId="0" fontId="19" fillId="0" borderId="22" xfId="0" applyFont="1" applyBorder="1" applyAlignment="1">
      <alignment horizontal="center" wrapText="1"/>
    </xf>
    <xf numFmtId="0" fontId="19" fillId="0" borderId="16" xfId="0" applyFont="1" applyBorder="1" applyAlignment="1">
      <alignment horizontal="center" wrapText="1"/>
    </xf>
    <xf numFmtId="0" fontId="19" fillId="0" borderId="4" xfId="0" applyFont="1" applyBorder="1" applyAlignment="1">
      <alignment horizontal="center" wrapText="1"/>
    </xf>
    <xf numFmtId="0" fontId="19" fillId="0" borderId="17" xfId="0" applyFont="1" applyBorder="1" applyAlignment="1">
      <alignment horizontal="center" wrapText="1"/>
    </xf>
    <xf numFmtId="3" fontId="59" fillId="0" borderId="0" xfId="0" applyNumberFormat="1" applyFont="1" applyFill="1" applyAlignment="1">
      <alignment horizontal="right" vertical="top" indent="1"/>
    </xf>
    <xf numFmtId="3" fontId="59" fillId="0" borderId="14" xfId="0" applyNumberFormat="1" applyFont="1" applyFill="1" applyBorder="1" applyAlignment="1">
      <alignment horizontal="right" vertical="top" indent="1"/>
    </xf>
    <xf numFmtId="3" fontId="59" fillId="0" borderId="0" xfId="0" applyNumberFormat="1" applyFont="1" applyFill="1" applyBorder="1" applyAlignment="1">
      <alignment horizontal="right" vertical="top" indent="1"/>
    </xf>
    <xf numFmtId="3" fontId="59" fillId="0" borderId="15" xfId="0" applyNumberFormat="1" applyFont="1" applyFill="1" applyBorder="1" applyAlignment="1">
      <alignment horizontal="right" vertical="top" indent="1"/>
    </xf>
    <xf numFmtId="3" fontId="59" fillId="0" borderId="19" xfId="0" applyNumberFormat="1" applyFont="1" applyFill="1" applyBorder="1" applyAlignment="1">
      <alignment horizontal="right" vertical="top" indent="1"/>
    </xf>
    <xf numFmtId="0" fontId="58" fillId="0" borderId="14" xfId="0" applyFont="1" applyFill="1" applyBorder="1" applyAlignment="1">
      <alignment horizontal="center"/>
    </xf>
    <xf numFmtId="3" fontId="59" fillId="0" borderId="18" xfId="0" applyNumberFormat="1" applyFont="1" applyFill="1" applyBorder="1" applyAlignment="1">
      <alignment horizontal="right" vertical="top" indent="1"/>
    </xf>
    <xf numFmtId="3" fontId="57" fillId="0" borderId="0" xfId="0" applyNumberFormat="1" applyFont="1" applyFill="1" applyAlignment="1">
      <alignment horizontal="center"/>
    </xf>
    <xf numFmtId="3" fontId="0" fillId="0" borderId="0" xfId="0" applyNumberFormat="1" applyFill="1" applyBorder="1" applyAlignment="1">
      <alignment horizontal="right" indent="1"/>
    </xf>
    <xf numFmtId="3" fontId="19" fillId="0" borderId="0" xfId="0" applyNumberFormat="1" applyFont="1" applyFill="1" applyBorder="1" applyAlignment="1"/>
    <xf numFmtId="0" fontId="42" fillId="0" borderId="0" xfId="0" applyFont="1" applyFill="1" applyBorder="1" applyAlignment="1">
      <alignment horizontal="center"/>
    </xf>
    <xf numFmtId="3" fontId="0" fillId="0" borderId="4" xfId="0" applyNumberFormat="1" applyBorder="1"/>
    <xf numFmtId="0" fontId="0" fillId="0" borderId="0" xfId="0" applyFont="1" applyFill="1" applyBorder="1" applyAlignment="1">
      <alignment horizontal="center"/>
    </xf>
    <xf numFmtId="3" fontId="0" fillId="0" borderId="4" xfId="0" applyNumberFormat="1" applyFill="1" applyBorder="1" applyAlignment="1"/>
    <xf numFmtId="3" fontId="41" fillId="0" borderId="0" xfId="0" applyNumberFormat="1" applyFont="1" applyFill="1" applyAlignment="1">
      <alignment horizontal="center"/>
    </xf>
    <xf numFmtId="0" fontId="21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46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0" borderId="15" xfId="0" applyFont="1" applyFill="1" applyBorder="1" applyAlignment="1">
      <alignment horizontal="center" vertical="center"/>
    </xf>
    <xf numFmtId="0" fontId="10" fillId="60" borderId="0" xfId="0" applyFont="1" applyFill="1"/>
    <xf numFmtId="3" fontId="10" fillId="60" borderId="0" xfId="0" applyNumberFormat="1" applyFont="1" applyFill="1" applyAlignment="1">
      <alignment horizontal="right"/>
    </xf>
    <xf numFmtId="168" fontId="10" fillId="60" borderId="0" xfId="0" applyNumberFormat="1" applyFont="1" applyFill="1"/>
    <xf numFmtId="3" fontId="0" fillId="0" borderId="0" xfId="0" applyNumberFormat="1" applyFill="1" applyBorder="1" applyAlignment="1"/>
    <xf numFmtId="0" fontId="97" fillId="0" borderId="50" xfId="0" applyFont="1" applyBorder="1" applyAlignment="1">
      <alignment wrapText="1"/>
    </xf>
    <xf numFmtId="0" fontId="97" fillId="0" borderId="51" xfId="0" applyFont="1" applyBorder="1" applyAlignment="1">
      <alignment horizontal="right" wrapText="1"/>
    </xf>
    <xf numFmtId="3" fontId="97" fillId="0" borderId="51" xfId="0" applyNumberFormat="1" applyFont="1" applyBorder="1" applyAlignment="1">
      <alignment horizontal="right" wrapText="1"/>
    </xf>
    <xf numFmtId="0" fontId="17" fillId="0" borderId="18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7" fillId="0" borderId="16" xfId="0" applyFont="1" applyBorder="1" applyAlignment="1">
      <alignment horizontal="center" wrapText="1"/>
    </xf>
    <xf numFmtId="0" fontId="0" fillId="0" borderId="0" xfId="0" applyFill="1" applyBorder="1" applyAlignment="1">
      <alignment horizontal="left" wrapText="1"/>
    </xf>
    <xf numFmtId="0" fontId="49" fillId="0" borderId="8" xfId="0" applyFont="1" applyBorder="1" applyAlignment="1">
      <alignment horizontal="center" vertical="center"/>
    </xf>
    <xf numFmtId="0" fontId="49" fillId="0" borderId="3" xfId="0" applyFont="1" applyBorder="1" applyAlignment="1">
      <alignment horizontal="center" vertical="center"/>
    </xf>
    <xf numFmtId="0" fontId="49" fillId="0" borderId="11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50" fillId="0" borderId="9" xfId="0" applyFont="1" applyBorder="1" applyAlignment="1">
      <alignment horizontal="center" vertical="center"/>
    </xf>
    <xf numFmtId="0" fontId="52" fillId="0" borderId="10" xfId="0" applyFont="1" applyBorder="1" applyAlignment="1">
      <alignment horizontal="center" vertical="center"/>
    </xf>
    <xf numFmtId="0" fontId="50" fillId="0" borderId="6" xfId="0" applyFont="1" applyBorder="1" applyAlignment="1">
      <alignment horizontal="center" vertical="center"/>
    </xf>
    <xf numFmtId="0" fontId="50" fillId="0" borderId="10" xfId="0" applyFont="1" applyBorder="1" applyAlignment="1">
      <alignment horizontal="center" vertical="center"/>
    </xf>
    <xf numFmtId="3" fontId="49" fillId="0" borderId="7" xfId="0" applyNumberFormat="1" applyFont="1" applyBorder="1" applyAlignment="1">
      <alignment horizontal="center" vertical="center"/>
    </xf>
    <xf numFmtId="3" fontId="49" fillId="0" borderId="8" xfId="0" applyNumberFormat="1" applyFont="1" applyBorder="1" applyAlignment="1">
      <alignment horizontal="center" vertical="center"/>
    </xf>
    <xf numFmtId="3" fontId="50" fillId="0" borderId="0" xfId="0" applyNumberFormat="1" applyFont="1" applyBorder="1" applyAlignment="1">
      <alignment horizontal="center" vertical="center"/>
    </xf>
    <xf numFmtId="3" fontId="50" fillId="0" borderId="5" xfId="0" applyNumberFormat="1" applyFont="1" applyBorder="1" applyAlignment="1">
      <alignment horizontal="center" vertical="center"/>
    </xf>
    <xf numFmtId="0" fontId="49" fillId="0" borderId="9" xfId="0" applyFont="1" applyBorder="1" applyAlignment="1">
      <alignment horizontal="center" vertical="center"/>
    </xf>
    <xf numFmtId="3" fontId="49" fillId="0" borderId="0" xfId="0" applyNumberFormat="1" applyFont="1" applyBorder="1" applyAlignment="1">
      <alignment horizontal="center" vertical="center"/>
    </xf>
    <xf numFmtId="3" fontId="49" fillId="0" borderId="5" xfId="0" applyNumberFormat="1" applyFont="1" applyBorder="1" applyAlignment="1">
      <alignment horizontal="center" vertical="center"/>
    </xf>
    <xf numFmtId="3" fontId="52" fillId="0" borderId="0" xfId="0" applyNumberFormat="1" applyFont="1" applyBorder="1" applyAlignment="1">
      <alignment horizontal="center" vertical="center"/>
    </xf>
    <xf numFmtId="3" fontId="52" fillId="0" borderId="5" xfId="0" applyNumberFormat="1" applyFont="1" applyBorder="1" applyAlignment="1">
      <alignment horizontal="center" vertical="center"/>
    </xf>
    <xf numFmtId="3" fontId="52" fillId="0" borderId="3" xfId="0" applyNumberFormat="1" applyFont="1" applyBorder="1" applyAlignment="1">
      <alignment horizontal="center" vertical="center"/>
    </xf>
    <xf numFmtId="3" fontId="52" fillId="0" borderId="11" xfId="0" applyNumberFormat="1" applyFont="1" applyBorder="1" applyAlignment="1">
      <alignment horizontal="center" vertical="center"/>
    </xf>
    <xf numFmtId="3" fontId="59" fillId="5" borderId="14" xfId="0" applyNumberFormat="1" applyFont="1" applyFill="1" applyBorder="1" applyAlignment="1">
      <alignment horizontal="right" vertical="top" indent="1"/>
    </xf>
    <xf numFmtId="3" fontId="59" fillId="5" borderId="0" xfId="0" applyNumberFormat="1" applyFont="1" applyFill="1" applyBorder="1" applyAlignment="1">
      <alignment horizontal="right" vertical="top" indent="1"/>
    </xf>
    <xf numFmtId="3" fontId="59" fillId="5" borderId="0" xfId="0" applyNumberFormat="1" applyFont="1" applyFill="1" applyAlignment="1">
      <alignment horizontal="right" vertical="top" indent="1"/>
    </xf>
    <xf numFmtId="3" fontId="59" fillId="5" borderId="15" xfId="0" applyNumberFormat="1" applyFont="1" applyFill="1" applyBorder="1" applyAlignment="1">
      <alignment horizontal="right" vertical="top" indent="1"/>
    </xf>
    <xf numFmtId="3" fontId="19" fillId="0" borderId="0" xfId="2" applyNumberFormat="1" applyFont="1" applyBorder="1" applyAlignment="1"/>
    <xf numFmtId="3" fontId="19" fillId="0" borderId="14" xfId="2" applyNumberFormat="1" applyFont="1" applyBorder="1" applyAlignment="1"/>
    <xf numFmtId="3" fontId="19" fillId="0" borderId="0" xfId="2" applyNumberFormat="1" applyFont="1" applyFill="1" applyBorder="1" applyAlignment="1"/>
    <xf numFmtId="0" fontId="42" fillId="0" borderId="0" xfId="0" applyFont="1" applyBorder="1" applyAlignment="1">
      <alignment horizontal="left" vertical="center" wrapText="1"/>
    </xf>
    <xf numFmtId="0" fontId="0" fillId="0" borderId="0" xfId="0" applyBorder="1" applyAlignment="1"/>
    <xf numFmtId="3" fontId="0" fillId="10" borderId="0" xfId="0" applyNumberFormat="1" applyFill="1"/>
    <xf numFmtId="3" fontId="0" fillId="5" borderId="0" xfId="0" applyNumberFormat="1" applyFill="1"/>
    <xf numFmtId="3" fontId="0" fillId="41" borderId="0" xfId="0" applyNumberFormat="1" applyFill="1"/>
    <xf numFmtId="3" fontId="19" fillId="0" borderId="18" xfId="0" applyNumberFormat="1" applyFont="1" applyBorder="1" applyAlignment="1"/>
    <xf numFmtId="3" fontId="19" fillId="0" borderId="1" xfId="0" applyNumberFormat="1" applyFont="1" applyBorder="1" applyAlignment="1"/>
    <xf numFmtId="3" fontId="19" fillId="0" borderId="19" xfId="0" applyNumberFormat="1" applyFont="1" applyBorder="1" applyAlignment="1"/>
    <xf numFmtId="3" fontId="19" fillId="0" borderId="18" xfId="2" applyNumberFormat="1" applyFont="1" applyBorder="1" applyAlignment="1"/>
    <xf numFmtId="3" fontId="19" fillId="0" borderId="19" xfId="2" applyNumberFormat="1" applyFont="1" applyBorder="1" applyAlignment="1"/>
    <xf numFmtId="3" fontId="19" fillId="0" borderId="14" xfId="0" applyNumberFormat="1" applyFont="1" applyBorder="1" applyAlignment="1"/>
    <xf numFmtId="3" fontId="19" fillId="0" borderId="0" xfId="0" applyNumberFormat="1" applyFont="1" applyBorder="1" applyAlignment="1"/>
    <xf numFmtId="3" fontId="19" fillId="0" borderId="15" xfId="0" applyNumberFormat="1" applyFont="1" applyBorder="1" applyAlignment="1"/>
    <xf numFmtId="3" fontId="19" fillId="0" borderId="15" xfId="2" applyNumberFormat="1" applyFont="1" applyBorder="1" applyAlignment="1"/>
    <xf numFmtId="0" fontId="19" fillId="0" borderId="14" xfId="0" applyFont="1" applyBorder="1" applyAlignment="1">
      <alignment horizontal="right"/>
    </xf>
    <xf numFmtId="3" fontId="19" fillId="0" borderId="14" xfId="0" applyNumberFormat="1" applyFont="1" applyFill="1" applyBorder="1" applyAlignment="1"/>
    <xf numFmtId="3" fontId="19" fillId="0" borderId="15" xfId="0" applyNumberFormat="1" applyFont="1" applyFill="1" applyBorder="1" applyAlignment="1"/>
    <xf numFmtId="3" fontId="46" fillId="0" borderId="0" xfId="2" applyNumberFormat="1" applyFont="1" applyFill="1" applyBorder="1" applyAlignment="1"/>
    <xf numFmtId="3" fontId="46" fillId="0" borderId="14" xfId="2" applyNumberFormat="1" applyFont="1" applyFill="1" applyBorder="1" applyAlignment="1"/>
    <xf numFmtId="0" fontId="19" fillId="0" borderId="14" xfId="0" quotePrefix="1" applyFont="1" applyBorder="1" applyAlignment="1">
      <alignment horizontal="left"/>
    </xf>
    <xf numFmtId="3" fontId="19" fillId="0" borderId="14" xfId="2" applyNumberFormat="1" applyFont="1" applyFill="1" applyBorder="1" applyAlignment="1"/>
    <xf numFmtId="3" fontId="19" fillId="0" borderId="15" xfId="2" applyNumberFormat="1" applyFont="1" applyFill="1" applyBorder="1" applyAlignment="1"/>
    <xf numFmtId="0" fontId="19" fillId="0" borderId="16" xfId="0" quotePrefix="1" applyFont="1" applyBorder="1" applyAlignment="1">
      <alignment horizontal="left"/>
    </xf>
    <xf numFmtId="3" fontId="19" fillId="0" borderId="16" xfId="0" applyNumberFormat="1" applyFont="1" applyBorder="1" applyAlignment="1"/>
    <xf numFmtId="3" fontId="19" fillId="0" borderId="4" xfId="0" applyNumberFormat="1" applyFont="1" applyBorder="1" applyAlignment="1"/>
    <xf numFmtId="3" fontId="19" fillId="0" borderId="17" xfId="0" applyNumberFormat="1" applyFont="1" applyBorder="1" applyAlignment="1"/>
    <xf numFmtId="3" fontId="19" fillId="0" borderId="16" xfId="2" applyNumberFormat="1" applyFont="1" applyFill="1" applyBorder="1" applyAlignment="1"/>
    <xf numFmtId="3" fontId="19" fillId="0" borderId="16" xfId="2" applyNumberFormat="1" applyFont="1" applyBorder="1" applyAlignment="1"/>
    <xf numFmtId="3" fontId="19" fillId="0" borderId="4" xfId="2" applyNumberFormat="1" applyFont="1" applyBorder="1" applyAlignment="1"/>
    <xf numFmtId="3" fontId="19" fillId="0" borderId="17" xfId="2" applyNumberFormat="1" applyFont="1" applyFill="1" applyBorder="1" applyAlignment="1"/>
    <xf numFmtId="3" fontId="19" fillId="41" borderId="14" xfId="0" applyNumberFormat="1" applyFont="1" applyFill="1" applyBorder="1" applyAlignment="1"/>
    <xf numFmtId="3" fontId="19" fillId="41" borderId="0" xfId="0" applyNumberFormat="1" applyFont="1" applyFill="1" applyBorder="1" applyAlignment="1"/>
    <xf numFmtId="3" fontId="19" fillId="41" borderId="15" xfId="0" applyNumberFormat="1" applyFont="1" applyFill="1" applyBorder="1" applyAlignment="1"/>
    <xf numFmtId="0" fontId="96" fillId="0" borderId="3" xfId="0" applyFont="1" applyBorder="1" applyAlignment="1">
      <alignment vertical="center"/>
    </xf>
    <xf numFmtId="0" fontId="97" fillId="0" borderId="0" xfId="0" applyFont="1" applyAlignment="1"/>
    <xf numFmtId="0" fontId="99" fillId="0" borderId="3" xfId="0" applyFont="1" applyBorder="1" applyAlignment="1">
      <alignment vertical="center"/>
    </xf>
    <xf numFmtId="0" fontId="100" fillId="0" borderId="0" xfId="0" applyFont="1" applyAlignment="1"/>
    <xf numFmtId="0" fontId="96" fillId="0" borderId="10" xfId="0" applyFont="1" applyBorder="1" applyAlignment="1">
      <alignment horizontal="center" vertical="center"/>
    </xf>
    <xf numFmtId="0" fontId="96" fillId="0" borderId="3" xfId="0" applyFont="1" applyBorder="1" applyAlignment="1">
      <alignment horizontal="center" vertical="center"/>
    </xf>
    <xf numFmtId="0" fontId="96" fillId="0" borderId="11" xfId="0" applyFont="1" applyBorder="1" applyAlignment="1">
      <alignment horizontal="center" vertical="center"/>
    </xf>
    <xf numFmtId="0" fontId="96" fillId="0" borderId="9" xfId="0" applyFont="1" applyBorder="1" applyAlignment="1">
      <alignment horizontal="center" vertical="center"/>
    </xf>
    <xf numFmtId="3" fontId="96" fillId="0" borderId="0" xfId="0" applyNumberFormat="1" applyFont="1" applyAlignment="1">
      <alignment horizontal="right" vertical="center"/>
    </xf>
    <xf numFmtId="3" fontId="96" fillId="0" borderId="5" xfId="0" applyNumberFormat="1" applyFont="1" applyBorder="1" applyAlignment="1">
      <alignment horizontal="right" vertical="center"/>
    </xf>
    <xf numFmtId="0" fontId="96" fillId="0" borderId="0" xfId="0" applyFont="1" applyAlignment="1">
      <alignment horizontal="right" vertical="center"/>
    </xf>
    <xf numFmtId="3" fontId="96" fillId="0" borderId="3" xfId="0" applyNumberFormat="1" applyFont="1" applyBorder="1" applyAlignment="1">
      <alignment horizontal="right" vertical="center"/>
    </xf>
    <xf numFmtId="0" fontId="96" fillId="0" borderId="3" xfId="0" applyFont="1" applyBorder="1" applyAlignment="1">
      <alignment horizontal="right" vertical="center"/>
    </xf>
    <xf numFmtId="3" fontId="96" fillId="0" borderId="11" xfId="0" applyNumberFormat="1" applyFont="1" applyBorder="1" applyAlignment="1">
      <alignment horizontal="right" vertical="center"/>
    </xf>
    <xf numFmtId="0" fontId="16" fillId="0" borderId="17" xfId="0" applyFont="1" applyFill="1" applyBorder="1" applyAlignment="1">
      <alignment horizontal="center" vertical="center"/>
    </xf>
    <xf numFmtId="3" fontId="28" fillId="41" borderId="0" xfId="0" applyNumberFormat="1" applyFont="1" applyFill="1" applyAlignment="1">
      <alignment horizontal="center" vertical="center"/>
    </xf>
    <xf numFmtId="0" fontId="99" fillId="0" borderId="12" xfId="0" applyFont="1" applyFill="1" applyBorder="1" applyAlignment="1">
      <alignment vertical="center" textRotation="90" wrapText="1"/>
    </xf>
    <xf numFmtId="0" fontId="99" fillId="0" borderId="2" xfId="0" applyFont="1" applyFill="1" applyBorder="1" applyAlignment="1">
      <alignment horizontal="center" vertical="center" textRotation="90" wrapText="1"/>
    </xf>
    <xf numFmtId="0" fontId="99" fillId="0" borderId="13" xfId="0" applyFont="1" applyFill="1" applyBorder="1" applyAlignment="1">
      <alignment horizontal="center" vertical="center" textRotation="90" wrapText="1"/>
    </xf>
    <xf numFmtId="0" fontId="96" fillId="0" borderId="14" xfId="0" applyFont="1" applyFill="1" applyBorder="1" applyAlignment="1">
      <alignment vertical="center" wrapText="1"/>
    </xf>
    <xf numFmtId="0" fontId="96" fillId="0" borderId="0" xfId="0" applyFont="1" applyFill="1" applyBorder="1" applyAlignment="1">
      <alignment horizontal="center" vertical="center" wrapText="1"/>
    </xf>
    <xf numFmtId="0" fontId="96" fillId="0" borderId="15" xfId="0" applyFont="1" applyFill="1" applyBorder="1" applyAlignment="1">
      <alignment horizontal="center" vertical="center" wrapText="1"/>
    </xf>
    <xf numFmtId="3" fontId="96" fillId="0" borderId="0" xfId="0" applyNumberFormat="1" applyFont="1" applyFill="1" applyBorder="1" applyAlignment="1">
      <alignment horizontal="center" vertical="center" wrapText="1"/>
    </xf>
    <xf numFmtId="0" fontId="96" fillId="0" borderId="16" xfId="0" applyFont="1" applyFill="1" applyBorder="1" applyAlignment="1">
      <alignment vertical="center" wrapText="1"/>
    </xf>
    <xf numFmtId="3" fontId="96" fillId="0" borderId="4" xfId="0" applyNumberFormat="1" applyFont="1" applyFill="1" applyBorder="1" applyAlignment="1">
      <alignment horizontal="center" vertical="center" wrapText="1"/>
    </xf>
    <xf numFmtId="0" fontId="96" fillId="0" borderId="4" xfId="0" applyFont="1" applyFill="1" applyBorder="1" applyAlignment="1">
      <alignment horizontal="center" vertical="center" wrapText="1"/>
    </xf>
    <xf numFmtId="0" fontId="96" fillId="0" borderId="17" xfId="0" applyFont="1" applyFill="1" applyBorder="1" applyAlignment="1">
      <alignment horizontal="center" vertical="center" wrapText="1"/>
    </xf>
    <xf numFmtId="0" fontId="101" fillId="0" borderId="0" xfId="0" applyFont="1" applyFill="1" applyBorder="1" applyAlignment="1">
      <alignment vertical="center"/>
    </xf>
    <xf numFmtId="0" fontId="96" fillId="0" borderId="0" xfId="0" applyFont="1" applyFill="1" applyBorder="1"/>
    <xf numFmtId="0" fontId="96" fillId="0" borderId="0" xfId="0" applyFont="1" applyFill="1" applyBorder="1" applyAlignment="1"/>
    <xf numFmtId="0" fontId="102" fillId="0" borderId="0" xfId="0" applyFont="1" applyFill="1" applyBorder="1" applyAlignment="1">
      <alignment vertical="center"/>
    </xf>
    <xf numFmtId="0" fontId="103" fillId="0" borderId="12" xfId="0" applyFont="1" applyFill="1" applyBorder="1" applyAlignment="1">
      <alignment horizontal="center" vertical="center" wrapText="1"/>
    </xf>
    <xf numFmtId="0" fontId="103" fillId="0" borderId="2" xfId="0" applyFont="1" applyFill="1" applyBorder="1" applyAlignment="1">
      <alignment horizontal="center" vertical="center" wrapText="1"/>
    </xf>
    <xf numFmtId="0" fontId="103" fillId="0" borderId="13" xfId="0" applyFont="1" applyFill="1" applyBorder="1" applyAlignment="1">
      <alignment horizontal="center" vertical="center" wrapText="1"/>
    </xf>
    <xf numFmtId="0" fontId="103" fillId="62" borderId="14" xfId="0" applyFont="1" applyFill="1" applyBorder="1" applyAlignment="1">
      <alignment horizontal="center" vertical="center" wrapText="1"/>
    </xf>
    <xf numFmtId="0" fontId="103" fillId="62" borderId="0" xfId="0" applyFont="1" applyFill="1" applyBorder="1" applyAlignment="1">
      <alignment horizontal="center" vertical="center" wrapText="1"/>
    </xf>
    <xf numFmtId="0" fontId="103" fillId="0" borderId="15" xfId="0" applyFont="1" applyBorder="1"/>
    <xf numFmtId="3" fontId="103" fillId="62" borderId="0" xfId="0" applyNumberFormat="1" applyFont="1" applyFill="1" applyBorder="1" applyAlignment="1">
      <alignment horizontal="center" vertical="center" wrapText="1"/>
    </xf>
    <xf numFmtId="0" fontId="103" fillId="62" borderId="16" xfId="0" applyFont="1" applyFill="1" applyBorder="1" applyAlignment="1">
      <alignment horizontal="center" vertical="center" wrapText="1"/>
    </xf>
    <xf numFmtId="0" fontId="103" fillId="62" borderId="4" xfId="0" applyFont="1" applyFill="1" applyBorder="1" applyAlignment="1">
      <alignment horizontal="center" vertical="center" wrapText="1"/>
    </xf>
    <xf numFmtId="3" fontId="103" fillId="62" borderId="4" xfId="0" applyNumberFormat="1" applyFont="1" applyFill="1" applyBorder="1" applyAlignment="1">
      <alignment horizontal="center" vertical="center" wrapText="1"/>
    </xf>
    <xf numFmtId="0" fontId="103" fillId="0" borderId="17" xfId="0" applyFont="1" applyBorder="1"/>
    <xf numFmtId="0" fontId="104" fillId="0" borderId="0" xfId="0" applyFont="1" applyAlignment="1">
      <alignment vertical="center"/>
    </xf>
    <xf numFmtId="0" fontId="103" fillId="0" borderId="0" xfId="0" applyFont="1" applyAlignment="1"/>
    <xf numFmtId="0" fontId="103" fillId="0" borderId="0" xfId="0" applyFont="1"/>
    <xf numFmtId="0" fontId="103" fillId="0" borderId="0" xfId="0" applyFont="1" applyAlignment="1">
      <alignment vertical="center"/>
    </xf>
    <xf numFmtId="1" fontId="0" fillId="0" borderId="0" xfId="0" applyNumberFormat="1"/>
    <xf numFmtId="0" fontId="105" fillId="0" borderId="0" xfId="0" applyFont="1" applyAlignment="1">
      <alignment vertical="center"/>
    </xf>
    <xf numFmtId="0" fontId="106" fillId="0" borderId="0" xfId="0" applyFont="1" applyAlignment="1"/>
    <xf numFmtId="0" fontId="107" fillId="62" borderId="12" xfId="0" applyFont="1" applyFill="1" applyBorder="1" applyAlignment="1">
      <alignment vertical="center" wrapText="1"/>
    </xf>
    <xf numFmtId="0" fontId="107" fillId="62" borderId="2" xfId="0" applyFont="1" applyFill="1" applyBorder="1" applyAlignment="1">
      <alignment vertical="center" wrapText="1"/>
    </xf>
    <xf numFmtId="0" fontId="107" fillId="62" borderId="13" xfId="0" applyFont="1" applyFill="1" applyBorder="1" applyAlignment="1">
      <alignment vertical="center" wrapText="1"/>
    </xf>
    <xf numFmtId="0" fontId="107" fillId="62" borderId="18" xfId="0" applyFont="1" applyFill="1" applyBorder="1" applyAlignment="1">
      <alignment vertical="center" wrapText="1"/>
    </xf>
    <xf numFmtId="3" fontId="107" fillId="62" borderId="18" xfId="0" applyNumberFormat="1" applyFont="1" applyFill="1" applyBorder="1" applyAlignment="1">
      <alignment horizontal="right" vertical="center" wrapText="1"/>
    </xf>
    <xf numFmtId="3" fontId="107" fillId="62" borderId="1" xfId="0" applyNumberFormat="1" applyFont="1" applyFill="1" applyBorder="1" applyAlignment="1">
      <alignment horizontal="right" vertical="center" wrapText="1"/>
    </xf>
    <xf numFmtId="3" fontId="107" fillId="62" borderId="19" xfId="0" applyNumberFormat="1" applyFont="1" applyFill="1" applyBorder="1" applyAlignment="1">
      <alignment horizontal="right" vertical="center" wrapText="1"/>
    </xf>
    <xf numFmtId="10" fontId="107" fillId="62" borderId="19" xfId="0" applyNumberFormat="1" applyFont="1" applyFill="1" applyBorder="1" applyAlignment="1">
      <alignment horizontal="right" vertical="center" wrapText="1"/>
    </xf>
    <xf numFmtId="0" fontId="107" fillId="62" borderId="14" xfId="0" applyFont="1" applyFill="1" applyBorder="1" applyAlignment="1">
      <alignment vertical="center" wrapText="1"/>
    </xf>
    <xf numFmtId="3" fontId="107" fillId="62" borderId="14" xfId="0" applyNumberFormat="1" applyFont="1" applyFill="1" applyBorder="1" applyAlignment="1">
      <alignment horizontal="right" vertical="center" wrapText="1"/>
    </xf>
    <xf numFmtId="3" fontId="107" fillId="62" borderId="0" xfId="0" applyNumberFormat="1" applyFont="1" applyFill="1" applyBorder="1" applyAlignment="1">
      <alignment horizontal="right" vertical="center" wrapText="1"/>
    </xf>
    <xf numFmtId="3" fontId="107" fillId="62" borderId="15" xfId="0" applyNumberFormat="1" applyFont="1" applyFill="1" applyBorder="1" applyAlignment="1">
      <alignment horizontal="right" vertical="center" wrapText="1"/>
    </xf>
    <xf numFmtId="10" fontId="107" fillId="62" borderId="15" xfId="0" applyNumberFormat="1" applyFont="1" applyFill="1" applyBorder="1" applyAlignment="1">
      <alignment horizontal="right" vertical="center" wrapText="1"/>
    </xf>
    <xf numFmtId="0" fontId="107" fillId="62" borderId="0" xfId="0" applyFont="1" applyFill="1" applyBorder="1" applyAlignment="1">
      <alignment horizontal="right" vertical="center" wrapText="1"/>
    </xf>
    <xf numFmtId="0" fontId="107" fillId="62" borderId="16" xfId="0" applyFont="1" applyFill="1" applyBorder="1" applyAlignment="1">
      <alignment vertical="center" wrapText="1"/>
    </xf>
    <xf numFmtId="10" fontId="107" fillId="62" borderId="17" xfId="0" applyNumberFormat="1" applyFont="1" applyFill="1" applyBorder="1" applyAlignment="1">
      <alignment horizontal="right" vertical="center" wrapText="1"/>
    </xf>
    <xf numFmtId="164" fontId="16" fillId="5" borderId="0" xfId="0" applyNumberFormat="1" applyFont="1" applyFill="1" applyBorder="1" applyAlignment="1">
      <alignment horizontal="center" vertical="center"/>
    </xf>
    <xf numFmtId="164" fontId="16" fillId="41" borderId="0" xfId="0" applyNumberFormat="1" applyFont="1" applyFill="1" applyBorder="1" applyAlignment="1">
      <alignment horizontal="center" vertical="center"/>
    </xf>
    <xf numFmtId="0" fontId="16" fillId="41" borderId="0" xfId="0" applyFont="1" applyFill="1" applyBorder="1" applyAlignment="1">
      <alignment horizontal="center" vertical="center"/>
    </xf>
    <xf numFmtId="0" fontId="108" fillId="0" borderId="0" xfId="0" applyFont="1" applyAlignment="1">
      <alignment vertical="center"/>
    </xf>
    <xf numFmtId="0" fontId="17" fillId="0" borderId="0" xfId="0" applyFont="1" applyAlignment="1">
      <alignment horizontal="right" vertical="center"/>
    </xf>
    <xf numFmtId="0" fontId="16" fillId="0" borderId="16" xfId="0" applyFont="1" applyBorder="1" applyAlignment="1">
      <alignment vertical="center"/>
    </xf>
    <xf numFmtId="0" fontId="16" fillId="0" borderId="56" xfId="0" applyFont="1" applyBorder="1" applyAlignment="1">
      <alignment vertical="center"/>
    </xf>
    <xf numFmtId="164" fontId="16" fillId="41" borderId="4" xfId="0" applyNumberFormat="1" applyFont="1" applyFill="1" applyBorder="1" applyAlignment="1">
      <alignment horizontal="center" vertical="center"/>
    </xf>
    <xf numFmtId="0" fontId="16" fillId="41" borderId="4" xfId="0" applyFont="1" applyFill="1" applyBorder="1" applyAlignment="1">
      <alignment horizontal="center" vertical="center"/>
    </xf>
    <xf numFmtId="164" fontId="16" fillId="65" borderId="0" xfId="0" applyNumberFormat="1" applyFont="1" applyFill="1" applyBorder="1" applyAlignment="1">
      <alignment horizontal="center" vertical="center"/>
    </xf>
    <xf numFmtId="164" fontId="22" fillId="65" borderId="0" xfId="0" applyNumberFormat="1" applyFont="1" applyFill="1" applyBorder="1" applyAlignment="1">
      <alignment horizontal="center" vertical="center"/>
    </xf>
    <xf numFmtId="164" fontId="16" fillId="65" borderId="4" xfId="0" applyNumberFormat="1" applyFont="1" applyFill="1" applyBorder="1" applyAlignment="1">
      <alignment horizontal="center" vertical="center"/>
    </xf>
    <xf numFmtId="0" fontId="56" fillId="0" borderId="0" xfId="0" applyFont="1"/>
    <xf numFmtId="0" fontId="56" fillId="0" borderId="52" xfId="0" applyFont="1" applyBorder="1" applyAlignment="1">
      <alignment vertical="center"/>
    </xf>
    <xf numFmtId="0" fontId="56" fillId="0" borderId="20" xfId="0" applyFont="1" applyBorder="1" applyAlignment="1">
      <alignment horizontal="center" vertical="center" wrapText="1"/>
    </xf>
    <xf numFmtId="0" fontId="56" fillId="0" borderId="53" xfId="0" applyFont="1" applyBorder="1" applyAlignment="1">
      <alignment horizontal="center" vertical="center" wrapText="1"/>
    </xf>
    <xf numFmtId="0" fontId="56" fillId="0" borderId="9" xfId="0" applyFont="1" applyBorder="1" applyAlignment="1">
      <alignment vertical="center" wrapText="1"/>
    </xf>
    <xf numFmtId="3" fontId="56" fillId="0" borderId="0" xfId="0" applyNumberFormat="1" applyFont="1" applyAlignment="1">
      <alignment horizontal="center" vertical="center"/>
    </xf>
    <xf numFmtId="3" fontId="56" fillId="0" borderId="5" xfId="0" applyNumberFormat="1" applyFont="1" applyBorder="1" applyAlignment="1">
      <alignment horizontal="center" vertical="center"/>
    </xf>
    <xf numFmtId="0" fontId="56" fillId="0" borderId="9" xfId="0" applyFont="1" applyBorder="1" applyAlignment="1">
      <alignment vertical="center"/>
    </xf>
    <xf numFmtId="0" fontId="56" fillId="0" borderId="5" xfId="0" applyFont="1" applyBorder="1" applyAlignment="1">
      <alignment horizontal="center" vertical="center"/>
    </xf>
    <xf numFmtId="0" fontId="56" fillId="0" borderId="10" xfId="0" applyFont="1" applyBorder="1" applyAlignment="1">
      <alignment vertical="center"/>
    </xf>
    <xf numFmtId="3" fontId="56" fillId="0" borderId="3" xfId="0" applyNumberFormat="1" applyFont="1" applyBorder="1" applyAlignment="1">
      <alignment horizontal="center" vertical="center"/>
    </xf>
    <xf numFmtId="0" fontId="56" fillId="0" borderId="11" xfId="0" applyFont="1" applyBorder="1" applyAlignment="1">
      <alignment horizontal="center" vertical="center"/>
    </xf>
    <xf numFmtId="3" fontId="56" fillId="0" borderId="11" xfId="0" applyNumberFormat="1" applyFont="1" applyBorder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3" xfId="0" applyFont="1" applyBorder="1" applyAlignment="1">
      <alignment horizontal="center" vertical="center"/>
    </xf>
    <xf numFmtId="0" fontId="62" fillId="66" borderId="57" xfId="12913" applyFont="1" applyFill="1" applyBorder="1" applyAlignment="1">
      <alignment horizontal="left" wrapText="1"/>
    </xf>
    <xf numFmtId="3" fontId="62" fillId="66" borderId="57" xfId="12913" applyNumberFormat="1" applyFont="1" applyFill="1" applyBorder="1" applyAlignment="1">
      <alignment horizontal="center" wrapText="1"/>
    </xf>
    <xf numFmtId="0" fontId="62" fillId="0" borderId="41" xfId="12913" applyFont="1" applyFill="1" applyBorder="1" applyAlignment="1">
      <alignment horizontal="left" wrapText="1"/>
    </xf>
    <xf numFmtId="3" fontId="62" fillId="0" borderId="41" xfId="12913" applyNumberFormat="1" applyFont="1" applyFill="1" applyBorder="1" applyAlignment="1">
      <alignment horizontal="center" wrapText="1"/>
    </xf>
    <xf numFmtId="0" fontId="62" fillId="2" borderId="41" xfId="12913" applyFont="1" applyFill="1" applyBorder="1" applyAlignment="1">
      <alignment horizontal="left" wrapText="1"/>
    </xf>
    <xf numFmtId="3" fontId="62" fillId="2" borderId="41" xfId="12913" applyNumberFormat="1" applyFont="1" applyFill="1" applyBorder="1" applyAlignment="1">
      <alignment horizontal="center" wrapText="1"/>
    </xf>
    <xf numFmtId="3" fontId="0" fillId="2" borderId="0" xfId="0" applyNumberFormat="1" applyFill="1" applyBorder="1" applyAlignment="1"/>
    <xf numFmtId="0" fontId="20" fillId="0" borderId="0" xfId="0" applyFont="1" applyFill="1" applyBorder="1" applyAlignment="1">
      <alignment horizontal="center"/>
    </xf>
    <xf numFmtId="0" fontId="15" fillId="0" borderId="58" xfId="0" applyFont="1" applyFill="1" applyBorder="1" applyAlignment="1"/>
    <xf numFmtId="0" fontId="0" fillId="0" borderId="59" xfId="0" applyFill="1" applyBorder="1" applyAlignment="1"/>
    <xf numFmtId="0" fontId="0" fillId="0" borderId="40" xfId="0" applyBorder="1" applyAlignment="1"/>
    <xf numFmtId="0" fontId="0" fillId="0" borderId="60" xfId="0" applyBorder="1" applyAlignment="1"/>
    <xf numFmtId="0" fontId="0" fillId="0" borderId="61" xfId="0" applyFill="1" applyBorder="1" applyAlignment="1"/>
    <xf numFmtId="0" fontId="0" fillId="0" borderId="62" xfId="0" applyFill="1" applyBorder="1" applyAlignment="1"/>
    <xf numFmtId="0" fontId="0" fillId="0" borderId="63" xfId="0" applyBorder="1" applyAlignment="1"/>
    <xf numFmtId="0" fontId="0" fillId="0" borderId="64" xfId="0" applyBorder="1" applyAlignment="1"/>
    <xf numFmtId="0" fontId="0" fillId="0" borderId="58" xfId="0" applyFill="1" applyBorder="1" applyAlignment="1"/>
    <xf numFmtId="0" fontId="0" fillId="0" borderId="59" xfId="0" applyFont="1" applyFill="1" applyBorder="1" applyAlignment="1">
      <alignment horizontal="centerContinuous"/>
    </xf>
    <xf numFmtId="0" fontId="0" fillId="0" borderId="65" xfId="0" applyBorder="1" applyAlignment="1"/>
    <xf numFmtId="0" fontId="0" fillId="0" borderId="66" xfId="0" applyFill="1" applyBorder="1" applyAlignment="1"/>
    <xf numFmtId="0" fontId="0" fillId="0" borderId="67" xfId="0" applyFont="1" applyFill="1" applyBorder="1" applyAlignment="1">
      <alignment horizontal="centerContinuous"/>
    </xf>
    <xf numFmtId="0" fontId="0" fillId="0" borderId="0" xfId="0" applyFont="1" applyFill="1" applyBorder="1" applyAlignment="1">
      <alignment horizontal="centerContinuous"/>
    </xf>
    <xf numFmtId="0" fontId="0" fillId="0" borderId="0" xfId="0" applyAlignment="1"/>
    <xf numFmtId="0" fontId="0" fillId="0" borderId="66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20" fillId="0" borderId="0" xfId="0" applyFont="1" applyAlignment="1">
      <alignment horizontal="center" wrapText="1"/>
    </xf>
    <xf numFmtId="0" fontId="109" fillId="0" borderId="0" xfId="0" applyFont="1" applyAlignment="1">
      <alignment horizontal="center"/>
    </xf>
    <xf numFmtId="0" fontId="20" fillId="0" borderId="0" xfId="0" applyFont="1" applyBorder="1" applyAlignment="1">
      <alignment horizontal="left"/>
    </xf>
    <xf numFmtId="0" fontId="0" fillId="0" borderId="4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quotePrefix="1" applyFont="1" applyAlignment="1">
      <alignment horizontal="center" wrapText="1"/>
    </xf>
    <xf numFmtId="0" fontId="0" fillId="0" borderId="0" xfId="0" applyFont="1" applyFill="1" applyBorder="1" applyAlignment="1">
      <alignment horizontal="left"/>
    </xf>
    <xf numFmtId="0" fontId="0" fillId="0" borderId="70" xfId="0" applyFont="1" applyFill="1" applyBorder="1" applyAlignment="1">
      <alignment horizontal="center"/>
    </xf>
    <xf numFmtId="0" fontId="20" fillId="0" borderId="67" xfId="0" applyFont="1" applyFill="1" applyBorder="1" applyAlignment="1">
      <alignment horizontal="center"/>
    </xf>
    <xf numFmtId="0" fontId="0" fillId="0" borderId="67" xfId="0" applyFont="1" applyFill="1" applyBorder="1" applyAlignment="1">
      <alignment horizontal="center"/>
    </xf>
    <xf numFmtId="0" fontId="0" fillId="0" borderId="67" xfId="0" applyFill="1" applyBorder="1" applyAlignment="1">
      <alignment horizontal="center" wrapText="1"/>
    </xf>
    <xf numFmtId="0" fontId="0" fillId="0" borderId="67" xfId="0" applyFont="1" applyFill="1" applyBorder="1" applyAlignment="1">
      <alignment horizontal="center" wrapText="1"/>
    </xf>
    <xf numFmtId="0" fontId="20" fillId="5" borderId="4" xfId="0" applyFont="1" applyFill="1" applyBorder="1" applyAlignment="1">
      <alignment horizontal="left" wrapText="1"/>
    </xf>
    <xf numFmtId="0" fontId="20" fillId="0" borderId="0" xfId="0" applyFont="1" applyBorder="1" applyAlignment="1">
      <alignment horizontal="left" wrapText="1"/>
    </xf>
    <xf numFmtId="0" fontId="0" fillId="0" borderId="0" xfId="0" applyFont="1" applyAlignment="1">
      <alignment horizontal="center" wrapText="1"/>
    </xf>
    <xf numFmtId="0" fontId="0" fillId="0" borderId="66" xfId="0" applyFill="1" applyBorder="1" applyAlignment="1">
      <alignment horizontal="center"/>
    </xf>
    <xf numFmtId="3" fontId="20" fillId="0" borderId="0" xfId="0" applyNumberFormat="1" applyFont="1" applyFill="1" applyAlignment="1"/>
    <xf numFmtId="3" fontId="0" fillId="0" borderId="0" xfId="0" applyNumberFormat="1" applyFill="1" applyAlignment="1"/>
    <xf numFmtId="3" fontId="0" fillId="0" borderId="0" xfId="0" applyNumberFormat="1" applyAlignment="1"/>
    <xf numFmtId="3" fontId="0" fillId="67" borderId="0" xfId="0" applyNumberFormat="1" applyFill="1" applyAlignment="1"/>
    <xf numFmtId="3" fontId="0" fillId="67" borderId="0" xfId="0" applyNumberFormat="1" applyFill="1" applyBorder="1" applyAlignment="1"/>
    <xf numFmtId="3" fontId="20" fillId="67" borderId="0" xfId="0" applyNumberFormat="1" applyFont="1" applyFill="1" applyBorder="1" applyAlignment="1"/>
    <xf numFmtId="0" fontId="0" fillId="67" borderId="65" xfId="0" applyFill="1" applyBorder="1" applyAlignment="1"/>
    <xf numFmtId="0" fontId="0" fillId="5" borderId="63" xfId="0" applyFill="1" applyBorder="1" applyAlignment="1"/>
    <xf numFmtId="0" fontId="20" fillId="0" borderId="63" xfId="0" applyFont="1" applyBorder="1" applyAlignment="1"/>
    <xf numFmtId="0" fontId="0" fillId="0" borderId="58" xfId="0" applyFont="1" applyFill="1" applyBorder="1" applyAlignment="1">
      <alignment horizontal="center"/>
    </xf>
    <xf numFmtId="0" fontId="0" fillId="0" borderId="59" xfId="0" applyFont="1" applyFill="1" applyBorder="1" applyAlignment="1">
      <alignment horizontal="center"/>
    </xf>
    <xf numFmtId="0" fontId="0" fillId="0" borderId="0" xfId="0" applyFont="1" applyBorder="1" applyAlignment="1">
      <alignment horizontal="centerContinuous"/>
    </xf>
    <xf numFmtId="169" fontId="0" fillId="0" borderId="0" xfId="0" applyNumberFormat="1" applyAlignment="1">
      <alignment horizontal="center"/>
    </xf>
    <xf numFmtId="4" fontId="0" fillId="0" borderId="0" xfId="0" applyNumberFormat="1" applyAlignment="1"/>
    <xf numFmtId="10" fontId="0" fillId="68" borderId="0" xfId="0" applyNumberFormat="1" applyFill="1" applyAlignment="1">
      <alignment horizontal="center"/>
    </xf>
    <xf numFmtId="10" fontId="0" fillId="0" borderId="0" xfId="0" applyNumberFormat="1" applyAlignment="1">
      <alignment horizontal="center"/>
    </xf>
    <xf numFmtId="4" fontId="20" fillId="0" borderId="0" xfId="0" applyNumberFormat="1" applyFont="1" applyFill="1" applyAlignment="1">
      <alignment horizontal="right"/>
    </xf>
    <xf numFmtId="0" fontId="20" fillId="0" borderId="0" xfId="0" applyFont="1" applyAlignment="1"/>
    <xf numFmtId="0" fontId="20" fillId="0" borderId="0" xfId="0" applyFont="1" applyAlignment="1">
      <alignment wrapText="1"/>
    </xf>
    <xf numFmtId="0" fontId="20" fillId="68" borderId="0" xfId="0" applyFont="1" applyFill="1" applyAlignment="1">
      <alignment horizontal="center" wrapText="1"/>
    </xf>
    <xf numFmtId="0" fontId="17" fillId="0" borderId="18" xfId="0" applyFont="1" applyBorder="1" applyAlignment="1">
      <alignment horizontal="center" wrapText="1"/>
    </xf>
    <xf numFmtId="3" fontId="17" fillId="0" borderId="1" xfId="0" applyNumberFormat="1" applyFont="1" applyFill="1" applyBorder="1" applyAlignment="1">
      <alignment horizontal="center"/>
    </xf>
    <xf numFmtId="3" fontId="17" fillId="0" borderId="19" xfId="0" applyNumberFormat="1" applyFont="1" applyFill="1" applyBorder="1" applyAlignment="1">
      <alignment horizontal="center"/>
    </xf>
    <xf numFmtId="14" fontId="0" fillId="0" borderId="0" xfId="0" applyNumberFormat="1" applyAlignment="1"/>
    <xf numFmtId="18" fontId="0" fillId="0" borderId="0" xfId="0" applyNumberFormat="1" applyAlignment="1"/>
    <xf numFmtId="0" fontId="0" fillId="0" borderId="0" xfId="0" applyFill="1" applyAlignment="1"/>
    <xf numFmtId="0" fontId="0" fillId="5" borderId="0" xfId="0" applyFill="1" applyAlignment="1"/>
    <xf numFmtId="3" fontId="0" fillId="5" borderId="0" xfId="0" applyNumberFormat="1" applyFill="1" applyAlignment="1"/>
    <xf numFmtId="3" fontId="0" fillId="5" borderId="4" xfId="0" applyNumberFormat="1" applyFill="1" applyBorder="1" applyAlignment="1"/>
    <xf numFmtId="0" fontId="0" fillId="8" borderId="0" xfId="0" applyFill="1" applyBorder="1" applyAlignment="1"/>
    <xf numFmtId="0" fontId="0" fillId="69" borderId="65" xfId="0" applyFill="1" applyBorder="1" applyAlignment="1"/>
    <xf numFmtId="1" fontId="0" fillId="0" borderId="0" xfId="0" applyNumberFormat="1" applyFill="1" applyBorder="1" applyAlignment="1"/>
    <xf numFmtId="1" fontId="20" fillId="0" borderId="0" xfId="0" applyNumberFormat="1" applyFont="1" applyAlignment="1"/>
    <xf numFmtId="0" fontId="20" fillId="0" borderId="0" xfId="3676"/>
    <xf numFmtId="0" fontId="57" fillId="0" borderId="0" xfId="3676" applyFont="1" applyBorder="1" applyAlignment="1">
      <alignment horizontal="left"/>
    </xf>
    <xf numFmtId="0" fontId="128" fillId="0" borderId="14" xfId="3676" applyFont="1" applyBorder="1" applyAlignment="1">
      <alignment horizontal="left"/>
    </xf>
    <xf numFmtId="0" fontId="129" fillId="0" borderId="14" xfId="3676" applyFont="1" applyBorder="1" applyAlignment="1">
      <alignment horizontal="left"/>
    </xf>
    <xf numFmtId="0" fontId="57" fillId="0" borderId="14" xfId="3676" applyFont="1" applyBorder="1" applyAlignment="1">
      <alignment horizontal="left"/>
    </xf>
    <xf numFmtId="0" fontId="129" fillId="0" borderId="16" xfId="3676" applyFont="1" applyBorder="1" applyAlignment="1">
      <alignment horizontal="left"/>
    </xf>
    <xf numFmtId="0" fontId="128" fillId="0" borderId="0" xfId="3676" applyFont="1" applyFill="1" applyBorder="1" applyAlignment="1">
      <alignment horizontal="left"/>
    </xf>
    <xf numFmtId="3" fontId="128" fillId="0" borderId="29" xfId="3676" applyNumberFormat="1" applyFont="1" applyFill="1" applyBorder="1" applyAlignment="1">
      <alignment horizontal="center"/>
    </xf>
    <xf numFmtId="3" fontId="130" fillId="0" borderId="29" xfId="3676" applyNumberFormat="1" applyFont="1" applyBorder="1" applyAlignment="1">
      <alignment horizontal="center"/>
    </xf>
    <xf numFmtId="3" fontId="128" fillId="0" borderId="29" xfId="3676" applyNumberFormat="1" applyFont="1" applyBorder="1" applyAlignment="1">
      <alignment horizontal="center"/>
    </xf>
    <xf numFmtId="3" fontId="57" fillId="0" borderId="29" xfId="3676" applyNumberFormat="1" applyFont="1" applyFill="1" applyBorder="1" applyAlignment="1">
      <alignment horizontal="center"/>
    </xf>
    <xf numFmtId="3" fontId="129" fillId="0" borderId="29" xfId="3676" applyNumberFormat="1" applyFont="1" applyBorder="1" applyAlignment="1">
      <alignment horizontal="center"/>
    </xf>
    <xf numFmtId="3" fontId="57" fillId="0" borderId="29" xfId="3676" applyNumberFormat="1" applyFont="1" applyBorder="1" applyAlignment="1">
      <alignment horizontal="center"/>
    </xf>
    <xf numFmtId="3" fontId="57" fillId="0" borderId="22" xfId="3676" applyNumberFormat="1" applyFont="1" applyFill="1" applyBorder="1" applyAlignment="1">
      <alignment horizontal="center"/>
    </xf>
    <xf numFmtId="0" fontId="57" fillId="68" borderId="18" xfId="3676" applyFont="1" applyFill="1" applyBorder="1" applyAlignment="1">
      <alignment horizontal="left"/>
    </xf>
    <xf numFmtId="0" fontId="57" fillId="68" borderId="14" xfId="3676" applyFont="1" applyFill="1" applyBorder="1" applyAlignment="1">
      <alignment horizontal="left"/>
    </xf>
    <xf numFmtId="0" fontId="128" fillId="68" borderId="29" xfId="3676" applyFont="1" applyFill="1" applyBorder="1" applyAlignment="1">
      <alignment horizontal="center"/>
    </xf>
    <xf numFmtId="0" fontId="57" fillId="68" borderId="16" xfId="3676" applyFont="1" applyFill="1" applyBorder="1" applyAlignment="1">
      <alignment horizontal="left"/>
    </xf>
    <xf numFmtId="0" fontId="128" fillId="68" borderId="22" xfId="3676" applyFont="1" applyFill="1" applyBorder="1" applyAlignment="1">
      <alignment horizontal="center"/>
    </xf>
    <xf numFmtId="0" fontId="128" fillId="68" borderId="19" xfId="3676" applyFont="1" applyFill="1" applyBorder="1" applyAlignment="1">
      <alignment horizontal="center"/>
    </xf>
    <xf numFmtId="0" fontId="128" fillId="68" borderId="15" xfId="3676" applyFont="1" applyFill="1" applyBorder="1" applyAlignment="1">
      <alignment horizontal="center"/>
    </xf>
    <xf numFmtId="0" fontId="128" fillId="68" borderId="17" xfId="3676" applyFont="1" applyFill="1" applyBorder="1" applyAlignment="1">
      <alignment horizontal="center"/>
    </xf>
    <xf numFmtId="0" fontId="57" fillId="68" borderId="21" xfId="3676" applyFont="1" applyFill="1" applyBorder="1" applyAlignment="1">
      <alignment horizontal="center"/>
    </xf>
    <xf numFmtId="3" fontId="128" fillId="7" borderId="29" xfId="3676" applyNumberFormat="1" applyFont="1" applyFill="1" applyBorder="1" applyAlignment="1">
      <alignment horizontal="center"/>
    </xf>
    <xf numFmtId="3" fontId="57" fillId="7" borderId="29" xfId="3676" applyNumberFormat="1" applyFont="1" applyFill="1" applyBorder="1" applyAlignment="1">
      <alignment horizontal="center"/>
    </xf>
    <xf numFmtId="3" fontId="57" fillId="7" borderId="22" xfId="3676" applyNumberFormat="1" applyFont="1" applyFill="1" applyBorder="1" applyAlignment="1">
      <alignment horizontal="center"/>
    </xf>
    <xf numFmtId="3" fontId="96" fillId="41" borderId="0" xfId="0" applyNumberFormat="1" applyFont="1" applyFill="1" applyBorder="1" applyAlignment="1">
      <alignment horizontal="center"/>
    </xf>
    <xf numFmtId="3" fontId="96" fillId="41" borderId="14" xfId="0" applyNumberFormat="1" applyFont="1" applyFill="1" applyBorder="1" applyAlignment="1">
      <alignment horizontal="center"/>
    </xf>
    <xf numFmtId="3" fontId="50" fillId="41" borderId="0" xfId="0" applyNumberFormat="1" applyFont="1" applyFill="1" applyBorder="1" applyAlignment="1">
      <alignment horizontal="center" vertical="center"/>
    </xf>
    <xf numFmtId="3" fontId="107" fillId="63" borderId="16" xfId="0" applyNumberFormat="1" applyFont="1" applyFill="1" applyBorder="1" applyAlignment="1">
      <alignment horizontal="right" vertical="center" wrapText="1"/>
    </xf>
    <xf numFmtId="3" fontId="107" fillId="63" borderId="4" xfId="0" applyNumberFormat="1" applyFont="1" applyFill="1" applyBorder="1" applyAlignment="1">
      <alignment horizontal="right" vertical="center" wrapText="1"/>
    </xf>
    <xf numFmtId="3" fontId="57" fillId="41" borderId="0" xfId="4" applyNumberFormat="1" applyFont="1" applyFill="1" applyBorder="1" applyAlignment="1">
      <alignment horizontal="center"/>
    </xf>
    <xf numFmtId="3" fontId="107" fillId="63" borderId="17" xfId="0" applyNumberFormat="1" applyFont="1" applyFill="1" applyBorder="1" applyAlignment="1">
      <alignment horizontal="right" vertical="center" wrapText="1"/>
    </xf>
    <xf numFmtId="0" fontId="131" fillId="70" borderId="71" xfId="0" applyFont="1" applyFill="1" applyBorder="1" applyAlignment="1">
      <alignment horizontal="left" vertical="top" wrapText="1" indent="1"/>
    </xf>
    <xf numFmtId="0" fontId="132" fillId="71" borderId="72" xfId="0" applyFont="1" applyFill="1" applyBorder="1" applyAlignment="1">
      <alignment horizontal="center" vertical="center" wrapText="1"/>
    </xf>
    <xf numFmtId="3" fontId="132" fillId="71" borderId="72" xfId="0" applyNumberFormat="1" applyFont="1" applyFill="1" applyBorder="1" applyAlignment="1">
      <alignment horizontal="center" vertical="center" wrapText="1"/>
    </xf>
    <xf numFmtId="0" fontId="132" fillId="64" borderId="72" xfId="0" applyFont="1" applyFill="1" applyBorder="1" applyAlignment="1">
      <alignment horizontal="center" vertical="center" wrapText="1"/>
    </xf>
    <xf numFmtId="3" fontId="132" fillId="64" borderId="72" xfId="0" applyNumberFormat="1" applyFont="1" applyFill="1" applyBorder="1" applyAlignment="1">
      <alignment horizontal="center" vertical="center" wrapText="1"/>
    </xf>
    <xf numFmtId="0" fontId="131" fillId="70" borderId="73" xfId="0" applyFont="1" applyFill="1" applyBorder="1" applyAlignment="1">
      <alignment horizontal="left" vertical="top" wrapText="1" indent="1"/>
    </xf>
    <xf numFmtId="0" fontId="132" fillId="71" borderId="74" xfId="0" applyFont="1" applyFill="1" applyBorder="1" applyAlignment="1">
      <alignment horizontal="left" vertical="center" wrapText="1" indent="1"/>
    </xf>
    <xf numFmtId="0" fontId="132" fillId="64" borderId="74" xfId="0" applyFont="1" applyFill="1" applyBorder="1" applyAlignment="1">
      <alignment horizontal="left" vertical="center" wrapText="1" indent="1"/>
    </xf>
    <xf numFmtId="0" fontId="132" fillId="64" borderId="73" xfId="0" applyFont="1" applyFill="1" applyBorder="1" applyAlignment="1">
      <alignment horizontal="left" vertical="center" wrapText="1" indent="1"/>
    </xf>
    <xf numFmtId="0" fontId="132" fillId="64" borderId="71" xfId="0" applyFont="1" applyFill="1" applyBorder="1" applyAlignment="1">
      <alignment horizontal="center" vertical="center" wrapText="1"/>
    </xf>
    <xf numFmtId="3" fontId="132" fillId="64" borderId="71" xfId="0" applyNumberFormat="1" applyFont="1" applyFill="1" applyBorder="1" applyAlignment="1">
      <alignment horizontal="center" vertical="center" wrapText="1"/>
    </xf>
    <xf numFmtId="0" fontId="28" fillId="41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8" fillId="41" borderId="0" xfId="0" applyFont="1" applyFill="1" applyAlignment="1">
      <alignment horizontal="center"/>
    </xf>
    <xf numFmtId="3" fontId="28" fillId="41" borderId="0" xfId="0" applyNumberFormat="1" applyFont="1" applyFill="1" applyAlignment="1">
      <alignment horizontal="center"/>
    </xf>
    <xf numFmtId="0" fontId="133" fillId="72" borderId="75" xfId="0" applyFont="1" applyFill="1" applyBorder="1" applyAlignment="1">
      <alignment horizontal="center" vertical="center" wrapText="1"/>
    </xf>
    <xf numFmtId="0" fontId="50" fillId="41" borderId="76" xfId="0" applyFont="1" applyFill="1" applyBorder="1" applyAlignment="1" applyProtection="1">
      <alignment horizontal="right" vertical="center" wrapText="1"/>
    </xf>
    <xf numFmtId="0" fontId="50" fillId="41" borderId="77" xfId="0" applyFont="1" applyFill="1" applyBorder="1" applyAlignment="1" applyProtection="1">
      <alignment horizontal="right" vertical="center" wrapText="1"/>
    </xf>
    <xf numFmtId="3" fontId="50" fillId="41" borderId="0" xfId="0" applyNumberFormat="1" applyFont="1" applyFill="1" applyBorder="1" applyAlignment="1">
      <alignment horizontal="center" vertical="center" wrapText="1"/>
    </xf>
    <xf numFmtId="0" fontId="50" fillId="41" borderId="0" xfId="0" applyFont="1" applyFill="1" applyBorder="1" applyAlignment="1">
      <alignment horizontal="center" vertical="center"/>
    </xf>
    <xf numFmtId="0" fontId="28" fillId="41" borderId="0" xfId="0" applyFont="1" applyFill="1" applyBorder="1"/>
    <xf numFmtId="0" fontId="17" fillId="0" borderId="1" xfId="0" applyFont="1" applyBorder="1" applyAlignment="1">
      <alignment horizontal="center"/>
    </xf>
    <xf numFmtId="3" fontId="17" fillId="0" borderId="0" xfId="0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3" fontId="17" fillId="0" borderId="4" xfId="0" applyNumberFormat="1" applyFont="1" applyFill="1" applyBorder="1" applyAlignment="1">
      <alignment horizontal="center"/>
    </xf>
    <xf numFmtId="0" fontId="50" fillId="0" borderId="11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Border="1" applyAlignment="1"/>
    <xf numFmtId="15" fontId="0" fillId="0" borderId="0" xfId="0" applyNumberFormat="1"/>
    <xf numFmtId="0" fontId="135" fillId="0" borderId="0" xfId="12960"/>
    <xf numFmtId="0" fontId="50" fillId="0" borderId="11" xfId="0" applyFont="1" applyBorder="1" applyAlignment="1">
      <alignment vertical="center" wrapText="1"/>
    </xf>
    <xf numFmtId="3" fontId="135" fillId="0" borderId="0" xfId="12960" applyNumberFormat="1"/>
    <xf numFmtId="10" fontId="50" fillId="0" borderId="0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0" fillId="0" borderId="0" xfId="0" applyFill="1" applyBorder="1" applyAlignment="1"/>
    <xf numFmtId="0" fontId="50" fillId="0" borderId="3" xfId="0" applyFont="1" applyBorder="1" applyAlignment="1">
      <alignment vertical="center"/>
    </xf>
    <xf numFmtId="0" fontId="20" fillId="0" borderId="0" xfId="0" applyFont="1" applyFill="1" applyBorder="1" applyAlignment="1">
      <alignment horizontal="center" wrapText="1"/>
    </xf>
    <xf numFmtId="0" fontId="20" fillId="0" borderId="67" xfId="0" applyFont="1" applyFill="1" applyBorder="1" applyAlignment="1">
      <alignment horizontal="center" wrapText="1"/>
    </xf>
    <xf numFmtId="0" fontId="0" fillId="0" borderId="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9" fillId="0" borderId="0" xfId="0" applyFont="1" applyBorder="1" applyAlignment="1">
      <alignment horizontal="left" vertical="top" wrapText="1"/>
    </xf>
    <xf numFmtId="0" fontId="19" fillId="0" borderId="0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14" xfId="0" applyFont="1" applyBorder="1" applyAlignment="1">
      <alignment horizontal="center" wrapText="1"/>
    </xf>
    <xf numFmtId="0" fontId="19" fillId="0" borderId="0" xfId="0" applyFont="1" applyBorder="1" applyAlignment="1">
      <alignment horizontal="center" wrapText="1"/>
    </xf>
    <xf numFmtId="0" fontId="19" fillId="0" borderId="15" xfId="0" applyFont="1" applyBorder="1" applyAlignment="1">
      <alignment horizontal="center" wrapText="1"/>
    </xf>
    <xf numFmtId="0" fontId="96" fillId="0" borderId="7" xfId="0" applyFont="1" applyBorder="1" applyAlignment="1">
      <alignment vertical="center"/>
    </xf>
    <xf numFmtId="0" fontId="50" fillId="0" borderId="0" xfId="0" applyFont="1" applyAlignment="1">
      <alignment vertical="center"/>
    </xf>
    <xf numFmtId="0" fontId="96" fillId="0" borderId="54" xfId="0" applyFont="1" applyBorder="1" applyAlignment="1">
      <alignment vertical="center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 applyAlignment="1">
      <alignment horizontal="center" vertical="center"/>
    </xf>
    <xf numFmtId="0" fontId="56" fillId="0" borderId="0" xfId="0" applyFont="1" applyAlignment="1">
      <alignment vertical="center"/>
    </xf>
    <xf numFmtId="0" fontId="0" fillId="0" borderId="16" xfId="0" applyBorder="1" applyAlignment="1">
      <alignment horizontal="center"/>
    </xf>
    <xf numFmtId="3" fontId="0" fillId="0" borderId="4" xfId="0" applyNumberFormat="1" applyFill="1" applyBorder="1"/>
    <xf numFmtId="0" fontId="0" fillId="0" borderId="18" xfId="0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3" fontId="0" fillId="0" borderId="4" xfId="0" applyNumberFormat="1" applyBorder="1" applyAlignment="1"/>
    <xf numFmtId="164" fontId="0" fillId="0" borderId="4" xfId="1" applyNumberFormat="1" applyFont="1" applyBorder="1"/>
    <xf numFmtId="3" fontId="0" fillId="0" borderId="17" xfId="0" applyNumberFormat="1" applyBorder="1"/>
    <xf numFmtId="10" fontId="50" fillId="0" borderId="5" xfId="0" applyNumberFormat="1" applyFont="1" applyBorder="1" applyAlignment="1">
      <alignment horizontal="center" vertical="center"/>
    </xf>
    <xf numFmtId="10" fontId="50" fillId="0" borderId="11" xfId="0" applyNumberFormat="1" applyFont="1" applyBorder="1" applyAlignment="1">
      <alignment horizontal="center" vertical="center"/>
    </xf>
    <xf numFmtId="0" fontId="50" fillId="0" borderId="9" xfId="0" applyFont="1" applyBorder="1" applyAlignment="1">
      <alignment vertical="center" wrapText="1"/>
    </xf>
    <xf numFmtId="164" fontId="50" fillId="0" borderId="3" xfId="0" applyNumberFormat="1" applyFont="1" applyBorder="1" applyAlignment="1">
      <alignment horizontal="center" vertical="center"/>
    </xf>
    <xf numFmtId="9" fontId="0" fillId="0" borderId="0" xfId="0" applyNumberFormat="1"/>
    <xf numFmtId="9" fontId="50" fillId="0" borderId="0" xfId="0" applyNumberFormat="1" applyFont="1" applyBorder="1" applyAlignment="1">
      <alignment horizontal="center" vertical="center"/>
    </xf>
    <xf numFmtId="164" fontId="50" fillId="0" borderId="0" xfId="0" applyNumberFormat="1" applyFont="1" applyBorder="1" applyAlignment="1">
      <alignment horizontal="center" vertical="center"/>
    </xf>
    <xf numFmtId="0" fontId="50" fillId="0" borderId="0" xfId="0" quotePrefix="1" applyNumberFormat="1" applyFont="1" applyBorder="1" applyAlignment="1">
      <alignment horizontal="center" vertical="center"/>
    </xf>
    <xf numFmtId="0" fontId="50" fillId="0" borderId="0" xfId="0" applyNumberFormat="1" applyFont="1" applyBorder="1" applyAlignment="1">
      <alignment horizontal="center" vertical="center"/>
    </xf>
    <xf numFmtId="164" fontId="50" fillId="0" borderId="5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50" fillId="0" borderId="3" xfId="0" applyFont="1" applyBorder="1" applyAlignment="1">
      <alignment horizontal="center" vertical="center"/>
    </xf>
    <xf numFmtId="0" fontId="135" fillId="0" borderId="0" xfId="12960"/>
    <xf numFmtId="0" fontId="50" fillId="0" borderId="5" xfId="0" applyFont="1" applyBorder="1" applyAlignment="1">
      <alignment horizontal="center" vertical="center"/>
    </xf>
    <xf numFmtId="0" fontId="50" fillId="0" borderId="0" xfId="0" applyFont="1" applyBorder="1" applyAlignment="1">
      <alignment horizontal="center" vertical="center"/>
    </xf>
    <xf numFmtId="0" fontId="50" fillId="0" borderId="9" xfId="0" applyFont="1" applyBorder="1" applyAlignment="1">
      <alignment vertical="center"/>
    </xf>
    <xf numFmtId="0" fontId="50" fillId="0" borderId="10" xfId="0" applyFont="1" applyBorder="1" applyAlignment="1">
      <alignment vertical="center"/>
    </xf>
    <xf numFmtId="0" fontId="50" fillId="0" borderId="11" xfId="0" applyFont="1" applyBorder="1" applyAlignment="1">
      <alignment vertical="center"/>
    </xf>
    <xf numFmtId="170" fontId="17" fillId="0" borderId="4" xfId="0" applyNumberFormat="1" applyFont="1" applyFill="1" applyBorder="1" applyAlignment="1">
      <alignment horizontal="center"/>
    </xf>
    <xf numFmtId="170" fontId="17" fillId="0" borderId="17" xfId="0" applyNumberFormat="1" applyFont="1" applyFill="1" applyBorder="1" applyAlignment="1">
      <alignment horizontal="center"/>
    </xf>
    <xf numFmtId="164" fontId="50" fillId="0" borderId="11" xfId="0" applyNumberFormat="1" applyFont="1" applyBorder="1" applyAlignment="1">
      <alignment horizontal="center" vertical="center"/>
    </xf>
    <xf numFmtId="9" fontId="16" fillId="0" borderId="0" xfId="0" applyNumberFormat="1" applyFont="1" applyBorder="1" applyAlignment="1">
      <alignment vertical="center"/>
    </xf>
    <xf numFmtId="164" fontId="16" fillId="0" borderId="0" xfId="0" applyNumberFormat="1" applyFont="1" applyBorder="1" applyAlignment="1">
      <alignment vertical="center"/>
    </xf>
    <xf numFmtId="164" fontId="50" fillId="0" borderId="9" xfId="0" applyNumberFormat="1" applyFont="1" applyBorder="1" applyAlignment="1">
      <alignment horizontal="center" vertical="center"/>
    </xf>
    <xf numFmtId="164" fontId="50" fillId="0" borderId="5" xfId="0" applyNumberFormat="1" applyFont="1" applyFill="1" applyBorder="1" applyAlignment="1">
      <alignment horizontal="center" vertical="center"/>
    </xf>
    <xf numFmtId="10" fontId="50" fillId="0" borderId="9" xfId="0" applyNumberFormat="1" applyFont="1" applyBorder="1" applyAlignment="1">
      <alignment horizontal="center" vertical="center"/>
    </xf>
    <xf numFmtId="0" fontId="16" fillId="0" borderId="5" xfId="0" applyFont="1" applyFill="1" applyBorder="1" applyAlignment="1">
      <alignment vertical="center"/>
    </xf>
    <xf numFmtId="164" fontId="50" fillId="0" borderId="9" xfId="0" applyNumberFormat="1" applyFont="1" applyFill="1" applyBorder="1" applyAlignment="1">
      <alignment horizontal="center" vertical="center"/>
    </xf>
    <xf numFmtId="164" fontId="50" fillId="0" borderId="10" xfId="0" applyNumberFormat="1" applyFont="1" applyFill="1" applyBorder="1" applyAlignment="1">
      <alignment horizontal="center" vertical="center"/>
    </xf>
    <xf numFmtId="164" fontId="50" fillId="0" borderId="11" xfId="0" applyNumberFormat="1" applyFont="1" applyFill="1" applyBorder="1" applyAlignment="1">
      <alignment horizontal="center" vertical="center"/>
    </xf>
    <xf numFmtId="0" fontId="50" fillId="0" borderId="5" xfId="0" applyFont="1" applyFill="1" applyBorder="1" applyAlignment="1">
      <alignment horizontal="center" vertical="center"/>
    </xf>
    <xf numFmtId="164" fontId="50" fillId="0" borderId="10" xfId="0" applyNumberFormat="1" applyFont="1" applyBorder="1" applyAlignment="1">
      <alignment horizontal="center" vertical="center"/>
    </xf>
    <xf numFmtId="164" fontId="49" fillId="0" borderId="5" xfId="0" applyNumberFormat="1" applyFont="1" applyBorder="1" applyAlignment="1">
      <alignment horizontal="center" vertical="center"/>
    </xf>
    <xf numFmtId="164" fontId="49" fillId="0" borderId="0" xfId="0" applyNumberFormat="1" applyFont="1" applyBorder="1" applyAlignment="1">
      <alignment horizontal="center" vertical="center"/>
    </xf>
    <xf numFmtId="3" fontId="49" fillId="0" borderId="5" xfId="0" applyNumberFormat="1" applyFont="1" applyFill="1" applyBorder="1" applyAlignment="1">
      <alignment horizontal="center" vertical="center"/>
    </xf>
    <xf numFmtId="164" fontId="49" fillId="0" borderId="5" xfId="0" applyNumberFormat="1" applyFont="1" applyFill="1" applyBorder="1" applyAlignment="1">
      <alignment horizontal="center" vertical="center"/>
    </xf>
    <xf numFmtId="0" fontId="50" fillId="0" borderId="10" xfId="0" applyFont="1" applyBorder="1" applyAlignment="1">
      <alignment vertical="center" wrapText="1"/>
    </xf>
    <xf numFmtId="10" fontId="50" fillId="0" borderId="0" xfId="1" applyNumberFormat="1" applyFont="1" applyBorder="1" applyAlignment="1">
      <alignment horizontal="center" vertical="center"/>
    </xf>
    <xf numFmtId="10" fontId="50" fillId="0" borderId="5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9" fontId="0" fillId="0" borderId="0" xfId="1" applyFont="1" applyBorder="1"/>
    <xf numFmtId="0" fontId="20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0" fillId="0" borderId="0" xfId="0" applyFont="1" applyFill="1" applyBorder="1" applyAlignment="1">
      <alignment horizontal="center" wrapText="1"/>
    </xf>
    <xf numFmtId="0" fontId="20" fillId="0" borderId="67" xfId="0" applyFont="1" applyFill="1" applyBorder="1" applyAlignment="1">
      <alignment horizontal="center" wrapText="1"/>
    </xf>
    <xf numFmtId="0" fontId="0" fillId="0" borderId="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3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3" fontId="27" fillId="0" borderId="0" xfId="0" applyNumberFormat="1" applyFont="1" applyFill="1" applyBorder="1" applyAlignment="1">
      <alignment horizontal="left"/>
    </xf>
    <xf numFmtId="164" fontId="27" fillId="0" borderId="0" xfId="0" applyNumberFormat="1" applyFont="1" applyFill="1" applyBorder="1" applyAlignment="1">
      <alignment horizontal="left"/>
    </xf>
    <xf numFmtId="0" fontId="27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3" fontId="0" fillId="0" borderId="0" xfId="0" applyNumberFormat="1" applyFon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ont="1" applyFill="1" applyBorder="1" applyAlignment="1"/>
    <xf numFmtId="170" fontId="17" fillId="0" borderId="0" xfId="0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/>
    <xf numFmtId="164" fontId="0" fillId="0" borderId="0" xfId="0" applyNumberFormat="1" applyFill="1" applyBorder="1" applyAlignment="1"/>
    <xf numFmtId="3" fontId="0" fillId="0" borderId="0" xfId="0" applyNumberFormat="1" applyBorder="1" applyAlignment="1">
      <alignment horizontal="left"/>
    </xf>
    <xf numFmtId="3" fontId="0" fillId="2" borderId="0" xfId="0" applyNumberFormat="1" applyFill="1" applyBorder="1" applyAlignment="1">
      <alignment horizontal="left"/>
    </xf>
    <xf numFmtId="164" fontId="0" fillId="0" borderId="0" xfId="0" applyNumberFormat="1" applyBorder="1" applyAlignment="1">
      <alignment horizontal="left"/>
    </xf>
    <xf numFmtId="164" fontId="0" fillId="2" borderId="0" xfId="0" applyNumberFormat="1" applyFill="1" applyBorder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Font="1" applyFill="1" applyBorder="1"/>
    <xf numFmtId="3" fontId="0" fillId="0" borderId="0" xfId="0" applyNumberFormat="1" applyFont="1" applyFill="1" applyBorder="1"/>
    <xf numFmtId="0" fontId="0" fillId="0" borderId="0" xfId="0" applyAlignment="1">
      <alignment horizontal="left"/>
    </xf>
    <xf numFmtId="0" fontId="138" fillId="0" borderId="0" xfId="0" applyFont="1" applyBorder="1" applyAlignment="1">
      <alignment horizontal="left" vertical="center"/>
    </xf>
    <xf numFmtId="3" fontId="138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left"/>
    </xf>
    <xf numFmtId="164" fontId="0" fillId="0" borderId="0" xfId="1" applyNumberFormat="1" applyFont="1" applyBorder="1" applyAlignment="1">
      <alignment horizontal="left"/>
    </xf>
    <xf numFmtId="164" fontId="0" fillId="7" borderId="0" xfId="0" applyNumberFormat="1" applyFill="1" applyBorder="1" applyAlignment="1">
      <alignment horizontal="left"/>
    </xf>
    <xf numFmtId="3" fontId="0" fillId="0" borderId="0" xfId="0" applyNumberFormat="1" applyFont="1" applyFill="1" applyBorder="1" applyAlignment="1">
      <alignment horizontal="left" wrapText="1"/>
    </xf>
    <xf numFmtId="0" fontId="138" fillId="0" borderId="0" xfId="0" applyFont="1" applyFill="1" applyBorder="1" applyAlignment="1">
      <alignment horizontal="left" vertical="center"/>
    </xf>
    <xf numFmtId="0" fontId="0" fillId="0" borderId="0" xfId="1" applyNumberFormat="1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Border="1" applyAlignment="1">
      <alignment horizontal="left"/>
    </xf>
    <xf numFmtId="0" fontId="34" fillId="0" borderId="0" xfId="0" applyFont="1" applyBorder="1"/>
    <xf numFmtId="0" fontId="34" fillId="0" borderId="0" xfId="0" applyFont="1" applyBorder="1" applyAlignment="1"/>
    <xf numFmtId="0" fontId="139" fillId="0" borderId="0" xfId="0" applyFont="1" applyBorder="1" applyAlignment="1">
      <alignment horizontal="left" vertical="center"/>
    </xf>
    <xf numFmtId="0" fontId="34" fillId="0" borderId="0" xfId="0" applyFont="1" applyBorder="1" applyAlignment="1">
      <alignment horizontal="left"/>
    </xf>
    <xf numFmtId="169" fontId="139" fillId="0" borderId="0" xfId="0" applyNumberFormat="1" applyFont="1" applyBorder="1" applyAlignment="1">
      <alignment horizontal="left" vertical="center"/>
    </xf>
    <xf numFmtId="164" fontId="0" fillId="0" borderId="0" xfId="1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169" fontId="0" fillId="0" borderId="0" xfId="1" applyNumberFormat="1" applyFont="1" applyBorder="1" applyAlignment="1">
      <alignment horizontal="left"/>
    </xf>
    <xf numFmtId="169" fontId="0" fillId="0" borderId="0" xfId="1" applyNumberFormat="1" applyFont="1" applyFill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0" xfId="0" applyFont="1" applyFill="1" applyBorder="1" applyAlignment="1">
      <alignment horizontal="left"/>
    </xf>
    <xf numFmtId="3" fontId="34" fillId="0" borderId="0" xfId="0" applyNumberFormat="1" applyFont="1" applyFill="1" applyBorder="1" applyAlignment="1">
      <alignment horizontal="left"/>
    </xf>
    <xf numFmtId="165" fontId="34" fillId="0" borderId="0" xfId="0" applyNumberFormat="1" applyFont="1" applyFill="1" applyBorder="1" applyAlignment="1">
      <alignment horizontal="left"/>
    </xf>
    <xf numFmtId="164" fontId="34" fillId="0" borderId="0" xfId="1" applyNumberFormat="1" applyFont="1" applyFill="1" applyBorder="1" applyAlignment="1">
      <alignment horizontal="left"/>
    </xf>
    <xf numFmtId="169" fontId="34" fillId="0" borderId="0" xfId="1" applyNumberFormat="1" applyFont="1" applyFill="1" applyBorder="1" applyAlignment="1">
      <alignment horizontal="left"/>
    </xf>
    <xf numFmtId="1" fontId="34" fillId="0" borderId="0" xfId="0" applyNumberFormat="1" applyFont="1" applyFill="1" applyBorder="1" applyAlignment="1">
      <alignment horizontal="left"/>
    </xf>
    <xf numFmtId="0" fontId="0" fillId="0" borderId="0" xfId="0" applyFont="1" applyBorder="1" applyAlignment="1">
      <alignment horizontal="left" vertical="center"/>
    </xf>
    <xf numFmtId="1" fontId="0" fillId="0" borderId="0" xfId="0" applyNumberFormat="1" applyFont="1" applyBorder="1" applyAlignment="1">
      <alignment horizontal="left" vertical="center"/>
    </xf>
    <xf numFmtId="169" fontId="0" fillId="0" borderId="0" xfId="0" applyNumberFormat="1" applyFont="1" applyBorder="1" applyAlignment="1">
      <alignment horizontal="left" vertical="center"/>
    </xf>
    <xf numFmtId="3" fontId="139" fillId="0" borderId="0" xfId="0" applyNumberFormat="1" applyFont="1" applyBorder="1" applyAlignment="1">
      <alignment horizontal="left" vertical="center"/>
    </xf>
    <xf numFmtId="0" fontId="139" fillId="0" borderId="0" xfId="0" applyFont="1" applyFill="1" applyBorder="1" applyAlignment="1">
      <alignment horizontal="left" vertical="center"/>
    </xf>
    <xf numFmtId="0" fontId="139" fillId="0" borderId="0" xfId="0" applyFont="1" applyBorder="1" applyAlignment="1">
      <alignment horizontal="left" vertical="center" wrapText="1"/>
    </xf>
    <xf numFmtId="169" fontId="139" fillId="0" borderId="0" xfId="0" applyNumberFormat="1" applyFont="1" applyBorder="1" applyAlignment="1">
      <alignment horizontal="left" vertical="center" wrapText="1"/>
    </xf>
    <xf numFmtId="0" fontId="34" fillId="0" borderId="0" xfId="0" applyFont="1" applyBorder="1" applyAlignment="1">
      <alignment horizontal="left"/>
    </xf>
    <xf numFmtId="169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16" fillId="0" borderId="0" xfId="0" applyFont="1" applyBorder="1" applyAlignment="1">
      <alignment horizontal="left"/>
    </xf>
    <xf numFmtId="0" fontId="34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34" fillId="0" borderId="0" xfId="0" applyFont="1" applyBorder="1" applyAlignment="1">
      <alignment horizontal="left" vertical="center"/>
    </xf>
    <xf numFmtId="1" fontId="34" fillId="0" borderId="0" xfId="0" applyNumberFormat="1" applyFont="1" applyBorder="1" applyAlignment="1">
      <alignment horizontal="left" vertical="center"/>
    </xf>
    <xf numFmtId="1" fontId="139" fillId="0" borderId="0" xfId="0" applyNumberFormat="1" applyFont="1" applyBorder="1" applyAlignment="1">
      <alignment horizontal="left" vertical="center"/>
    </xf>
    <xf numFmtId="0" fontId="34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34" fillId="0" borderId="0" xfId="0" applyFont="1" applyFill="1" applyBorder="1" applyAlignment="1">
      <alignment horizontal="left" vertical="center"/>
    </xf>
    <xf numFmtId="3" fontId="0" fillId="0" borderId="0" xfId="0" applyNumberFormat="1" applyFont="1" applyBorder="1" applyAlignment="1">
      <alignment horizontal="left" vertical="center"/>
    </xf>
    <xf numFmtId="169" fontId="0" fillId="0" borderId="0" xfId="1" applyNumberFormat="1" applyFont="1" applyBorder="1" applyAlignment="1">
      <alignment horizontal="left" vertical="center"/>
    </xf>
    <xf numFmtId="1" fontId="139" fillId="0" borderId="0" xfId="0" applyNumberFormat="1" applyFont="1" applyFill="1" applyBorder="1" applyAlignment="1">
      <alignment horizontal="left" vertical="center"/>
    </xf>
    <xf numFmtId="10" fontId="139" fillId="0" borderId="0" xfId="1" applyNumberFormat="1" applyFont="1" applyBorder="1" applyAlignment="1">
      <alignment horizontal="left" vertical="center"/>
    </xf>
    <xf numFmtId="0" fontId="139" fillId="0" borderId="0" xfId="0" applyFont="1" applyBorder="1" applyAlignment="1">
      <alignment horizontal="left"/>
    </xf>
    <xf numFmtId="1" fontId="139" fillId="0" borderId="0" xfId="0" applyNumberFormat="1" applyFont="1" applyBorder="1" applyAlignment="1">
      <alignment horizontal="left"/>
    </xf>
    <xf numFmtId="1" fontId="34" fillId="0" borderId="0" xfId="0" applyNumberFormat="1" applyFont="1" applyBorder="1" applyAlignment="1">
      <alignment horizontal="left"/>
    </xf>
    <xf numFmtId="169" fontId="139" fillId="0" borderId="0" xfId="0" applyNumberFormat="1" applyFont="1" applyBorder="1" applyAlignment="1">
      <alignment horizontal="left"/>
    </xf>
    <xf numFmtId="10" fontId="138" fillId="0" borderId="0" xfId="0" applyNumberFormat="1" applyFont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8" fillId="0" borderId="0" xfId="0" applyFont="1" applyBorder="1" applyAlignment="1">
      <alignment horizontal="left"/>
    </xf>
    <xf numFmtId="10" fontId="138" fillId="0" borderId="0" xfId="0" applyNumberFormat="1" applyFont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9" fontId="138" fillId="0" borderId="0" xfId="0" applyNumberFormat="1" applyFont="1" applyBorder="1" applyAlignment="1">
      <alignment horizontal="left"/>
    </xf>
    <xf numFmtId="1" fontId="27" fillId="0" borderId="0" xfId="0" applyNumberFormat="1" applyFont="1" applyBorder="1" applyAlignment="1">
      <alignment horizontal="left"/>
    </xf>
    <xf numFmtId="1" fontId="138" fillId="0" borderId="0" xfId="0" applyNumberFormat="1" applyFont="1" applyBorder="1" applyAlignment="1">
      <alignment horizontal="left"/>
    </xf>
    <xf numFmtId="169" fontId="138" fillId="0" borderId="0" xfId="0" applyNumberFormat="1" applyFont="1" applyBorder="1" applyAlignment="1">
      <alignment horizontal="left" vertical="center"/>
    </xf>
    <xf numFmtId="1" fontId="138" fillId="0" borderId="0" xfId="0" applyNumberFormat="1" applyFont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34" fillId="0" borderId="0" xfId="0" applyFont="1" applyBorder="1" applyAlignment="1">
      <alignment horizontal="left"/>
    </xf>
    <xf numFmtId="0" fontId="34" fillId="0" borderId="0" xfId="0" applyFont="1" applyBorder="1" applyAlignment="1">
      <alignment horizontal="left"/>
    </xf>
    <xf numFmtId="169" fontId="34" fillId="0" borderId="0" xfId="0" applyNumberFormat="1" applyFont="1" applyBorder="1" applyAlignment="1">
      <alignment horizontal="left" vertical="center"/>
    </xf>
    <xf numFmtId="10" fontId="34" fillId="0" borderId="0" xfId="0" applyNumberFormat="1" applyFont="1" applyBorder="1" applyAlignment="1">
      <alignment horizontal="left" vertical="center"/>
    </xf>
    <xf numFmtId="10" fontId="139" fillId="0" borderId="0" xfId="0" applyNumberFormat="1" applyFont="1" applyBorder="1" applyAlignment="1">
      <alignment horizontal="left" vertical="center"/>
    </xf>
    <xf numFmtId="0" fontId="34" fillId="0" borderId="0" xfId="0" applyFont="1" applyBorder="1" applyAlignment="1">
      <alignment horizontal="left"/>
    </xf>
    <xf numFmtId="169" fontId="34" fillId="0" borderId="0" xfId="1" applyNumberFormat="1" applyFont="1" applyBorder="1" applyAlignment="1">
      <alignment horizontal="left" vertical="center"/>
    </xf>
    <xf numFmtId="0" fontId="34" fillId="0" borderId="0" xfId="0" applyFont="1" applyBorder="1" applyAlignment="1">
      <alignment horizontal="left"/>
    </xf>
    <xf numFmtId="169" fontId="34" fillId="0" borderId="0" xfId="0" applyNumberFormat="1" applyFont="1" applyBorder="1" applyAlignment="1">
      <alignment horizontal="left"/>
    </xf>
    <xf numFmtId="0" fontId="34" fillId="0" borderId="0" xfId="0" applyFont="1" applyBorder="1" applyAlignment="1">
      <alignment horizontal="left"/>
    </xf>
    <xf numFmtId="2" fontId="139" fillId="0" borderId="0" xfId="0" applyNumberFormat="1" applyFont="1" applyBorder="1" applyAlignment="1">
      <alignment horizontal="left" vertical="center"/>
    </xf>
    <xf numFmtId="2" fontId="139" fillId="0" borderId="0" xfId="0" applyNumberFormat="1" applyFont="1" applyFill="1" applyBorder="1" applyAlignment="1">
      <alignment horizontal="left" vertical="center"/>
    </xf>
    <xf numFmtId="9" fontId="34" fillId="0" borderId="0" xfId="0" applyNumberFormat="1" applyFont="1" applyBorder="1" applyAlignment="1">
      <alignment horizontal="left"/>
    </xf>
    <xf numFmtId="0" fontId="34" fillId="0" borderId="0" xfId="0" applyFont="1" applyBorder="1" applyAlignment="1">
      <alignment horizontal="left"/>
    </xf>
    <xf numFmtId="171" fontId="139" fillId="0" borderId="0" xfId="2" applyNumberFormat="1" applyFont="1" applyBorder="1" applyAlignment="1">
      <alignment horizontal="left" vertical="center"/>
    </xf>
    <xf numFmtId="0" fontId="34" fillId="0" borderId="0" xfId="0" applyFont="1" applyBorder="1" applyAlignment="1">
      <alignment horizontal="left"/>
    </xf>
    <xf numFmtId="3" fontId="139" fillId="0" borderId="0" xfId="0" applyNumberFormat="1" applyFont="1" applyBorder="1" applyAlignment="1">
      <alignment horizontal="left"/>
    </xf>
    <xf numFmtId="1" fontId="139" fillId="0" borderId="0" xfId="0" quotePrefix="1" applyNumberFormat="1" applyFont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68" xfId="0" applyFont="1" applyBorder="1" applyAlignment="1">
      <alignment horizontal="center"/>
    </xf>
    <xf numFmtId="0" fontId="20" fillId="0" borderId="69" xfId="0" applyFont="1" applyFill="1" applyBorder="1" applyAlignment="1">
      <alignment horizontal="center" wrapText="1"/>
    </xf>
    <xf numFmtId="0" fontId="20" fillId="0" borderId="0" xfId="0" applyFont="1" applyFill="1" applyBorder="1" applyAlignment="1">
      <alignment horizontal="center" wrapText="1"/>
    </xf>
    <xf numFmtId="0" fontId="20" fillId="0" borderId="67" xfId="0" applyFont="1" applyFill="1" applyBorder="1" applyAlignment="1">
      <alignment horizontal="center" wrapText="1"/>
    </xf>
    <xf numFmtId="0" fontId="0" fillId="0" borderId="4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8" xfId="0" applyBorder="1" applyAlignment="1">
      <alignment horizontal="center"/>
    </xf>
    <xf numFmtId="0" fontId="96" fillId="0" borderId="0" xfId="0" applyFont="1" applyAlignment="1">
      <alignment horizontal="center" vertical="center"/>
    </xf>
    <xf numFmtId="0" fontId="96" fillId="0" borderId="0" xfId="0" applyFont="1" applyBorder="1" applyAlignment="1">
      <alignment horizontal="center" vertical="center"/>
    </xf>
    <xf numFmtId="0" fontId="96" fillId="0" borderId="55" xfId="0" applyFont="1" applyBorder="1" applyAlignment="1">
      <alignment horizontal="center" vertical="center"/>
    </xf>
    <xf numFmtId="0" fontId="19" fillId="0" borderId="16" xfId="0" applyFont="1" applyBorder="1" applyAlignment="1">
      <alignment horizontal="left" vertical="top" wrapText="1"/>
    </xf>
    <xf numFmtId="0" fontId="19" fillId="0" borderId="4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top" wrapText="1"/>
    </xf>
    <xf numFmtId="0" fontId="19" fillId="0" borderId="18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46" fillId="0" borderId="19" xfId="0" applyFont="1" applyBorder="1" applyAlignment="1">
      <alignment horizontal="center"/>
    </xf>
    <xf numFmtId="0" fontId="19" fillId="0" borderId="14" xfId="0" applyFont="1" applyBorder="1" applyAlignment="1">
      <alignment horizontal="center" wrapText="1"/>
    </xf>
    <xf numFmtId="0" fontId="19" fillId="0" borderId="0" xfId="0" applyFont="1" applyBorder="1" applyAlignment="1">
      <alignment horizontal="center" wrapText="1"/>
    </xf>
    <xf numFmtId="0" fontId="19" fillId="0" borderId="15" xfId="0" applyFont="1" applyBorder="1" applyAlignment="1">
      <alignment horizontal="center" wrapText="1"/>
    </xf>
    <xf numFmtId="0" fontId="96" fillId="0" borderId="6" xfId="0" applyFont="1" applyBorder="1" applyAlignment="1">
      <alignment vertical="center"/>
    </xf>
    <xf numFmtId="0" fontId="96" fillId="0" borderId="9" xfId="0" applyFont="1" applyBorder="1" applyAlignment="1">
      <alignment vertical="center"/>
    </xf>
    <xf numFmtId="0" fontId="96" fillId="0" borderId="7" xfId="0" applyFont="1" applyBorder="1" applyAlignment="1">
      <alignment vertical="center"/>
    </xf>
    <xf numFmtId="0" fontId="19" fillId="0" borderId="19" xfId="0" applyFont="1" applyBorder="1" applyAlignment="1">
      <alignment horizontal="center"/>
    </xf>
    <xf numFmtId="0" fontId="46" fillId="0" borderId="18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19" fillId="0" borderId="18" xfId="0" applyFont="1" applyBorder="1" applyAlignment="1">
      <alignment horizontal="left" vertical="top" wrapText="1"/>
    </xf>
    <xf numFmtId="0" fontId="46" fillId="0" borderId="1" xfId="0" applyFont="1" applyBorder="1" applyAlignment="1">
      <alignment horizontal="left" vertical="top" wrapText="1"/>
    </xf>
    <xf numFmtId="0" fontId="0" fillId="0" borderId="1" xfId="0" applyBorder="1" applyAlignment="1"/>
    <xf numFmtId="0" fontId="0" fillId="0" borderId="19" xfId="0" applyBorder="1" applyAlignment="1"/>
    <xf numFmtId="0" fontId="19" fillId="0" borderId="14" xfId="0" applyFont="1" applyBorder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19" fillId="0" borderId="15" xfId="0" applyFont="1" applyBorder="1" applyAlignment="1">
      <alignment horizontal="left" vertical="top" wrapText="1"/>
    </xf>
    <xf numFmtId="0" fontId="42" fillId="61" borderId="12" xfId="0" applyFont="1" applyFill="1" applyBorder="1" applyAlignment="1">
      <alignment horizontal="left" vertical="center" wrapText="1"/>
    </xf>
    <xf numFmtId="0" fontId="42" fillId="61" borderId="2" xfId="0" applyFont="1" applyFill="1" applyBorder="1" applyAlignment="1">
      <alignment horizontal="left" vertical="center" wrapText="1"/>
    </xf>
    <xf numFmtId="0" fontId="42" fillId="61" borderId="13" xfId="0" applyFont="1" applyFill="1" applyBorder="1" applyAlignment="1">
      <alignment horizontal="left" vertical="center" wrapText="1"/>
    </xf>
    <xf numFmtId="0" fontId="42" fillId="2" borderId="12" xfId="0" applyFont="1" applyFill="1" applyBorder="1" applyAlignment="1">
      <alignment horizontal="center"/>
    </xf>
    <xf numFmtId="0" fontId="42" fillId="2" borderId="2" xfId="0" applyFont="1" applyFill="1" applyBorder="1" applyAlignment="1">
      <alignment horizontal="center"/>
    </xf>
    <xf numFmtId="0" fontId="91" fillId="2" borderId="13" xfId="0" applyFont="1" applyFill="1" applyBorder="1" applyAlignment="1">
      <alignment horizontal="center"/>
    </xf>
    <xf numFmtId="0" fontId="42" fillId="0" borderId="12" xfId="0" applyFont="1" applyBorder="1" applyAlignment="1">
      <alignment horizontal="left" vertical="center" wrapText="1"/>
    </xf>
    <xf numFmtId="0" fontId="42" fillId="0" borderId="2" xfId="0" applyFont="1" applyBorder="1" applyAlignment="1">
      <alignment horizontal="left" vertical="center" wrapText="1"/>
    </xf>
    <xf numFmtId="0" fontId="42" fillId="0" borderId="13" xfId="0" applyFont="1" applyBorder="1" applyAlignment="1">
      <alignment horizontal="left" vertical="center" wrapText="1"/>
    </xf>
    <xf numFmtId="0" fontId="42" fillId="2" borderId="13" xfId="0" applyFont="1" applyFill="1" applyBorder="1" applyAlignment="1">
      <alignment horizontal="center"/>
    </xf>
    <xf numFmtId="0" fontId="128" fillId="68" borderId="12" xfId="3676" applyFont="1" applyFill="1" applyBorder="1" applyAlignment="1">
      <alignment horizontal="center" vertical="center" wrapText="1"/>
    </xf>
    <xf numFmtId="0" fontId="128" fillId="68" borderId="2" xfId="3676" applyFont="1" applyFill="1" applyBorder="1" applyAlignment="1">
      <alignment horizontal="center" vertical="center" wrapText="1"/>
    </xf>
    <xf numFmtId="0" fontId="128" fillId="68" borderId="13" xfId="3676" applyFont="1" applyFill="1" applyBorder="1" applyAlignment="1">
      <alignment horizontal="center" vertical="center" wrapText="1"/>
    </xf>
    <xf numFmtId="0" fontId="23" fillId="0" borderId="52" xfId="0" applyFont="1" applyBorder="1" applyAlignment="1">
      <alignment horizontal="left" vertical="center"/>
    </xf>
    <xf numFmtId="0" fontId="23" fillId="0" borderId="20" xfId="0" applyFont="1" applyBorder="1" applyAlignment="1">
      <alignment horizontal="left" vertical="center"/>
    </xf>
    <xf numFmtId="0" fontId="23" fillId="0" borderId="53" xfId="0" applyFont="1" applyBorder="1" applyAlignment="1">
      <alignment horizontal="left" vertical="center"/>
    </xf>
    <xf numFmtId="0" fontId="19" fillId="0" borderId="0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0" fillId="0" borderId="12" xfId="0" applyFill="1" applyBorder="1" applyAlignment="1">
      <alignment horizontal="left" wrapText="1"/>
    </xf>
    <xf numFmtId="0" fontId="0" fillId="0" borderId="2" xfId="0" applyFill="1" applyBorder="1" applyAlignment="1">
      <alignment horizontal="left" wrapText="1"/>
    </xf>
    <xf numFmtId="0" fontId="0" fillId="0" borderId="13" xfId="0" applyFill="1" applyBorder="1" applyAlignment="1">
      <alignment horizontal="left" wrapText="1"/>
    </xf>
    <xf numFmtId="0" fontId="23" fillId="0" borderId="14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0" fontId="23" fillId="0" borderId="15" xfId="0" applyFont="1" applyFill="1" applyBorder="1" applyAlignment="1">
      <alignment horizontal="left"/>
    </xf>
    <xf numFmtId="0" fontId="19" fillId="0" borderId="14" xfId="0" applyFont="1" applyBorder="1" applyAlignment="1">
      <alignment horizontal="center"/>
    </xf>
    <xf numFmtId="0" fontId="34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52" fillId="0" borderId="9" xfId="0" applyFont="1" applyBorder="1" applyAlignment="1">
      <alignment vertical="center" wrapText="1"/>
    </xf>
    <xf numFmtId="0" fontId="52" fillId="0" borderId="0" xfId="0" applyFont="1" applyBorder="1" applyAlignment="1">
      <alignment vertical="center" wrapText="1"/>
    </xf>
    <xf numFmtId="0" fontId="52" fillId="0" borderId="5" xfId="0" applyFont="1" applyBorder="1" applyAlignment="1">
      <alignment vertical="center" wrapText="1"/>
    </xf>
    <xf numFmtId="0" fontId="52" fillId="0" borderId="10" xfId="0" applyFont="1" applyBorder="1" applyAlignment="1">
      <alignment vertical="center" wrapText="1"/>
    </xf>
    <xf numFmtId="0" fontId="52" fillId="0" borderId="3" xfId="0" applyFont="1" applyBorder="1" applyAlignment="1">
      <alignment vertical="center" wrapText="1"/>
    </xf>
    <xf numFmtId="0" fontId="52" fillId="0" borderId="11" xfId="0" applyFont="1" applyBorder="1" applyAlignment="1">
      <alignment vertical="center" wrapText="1"/>
    </xf>
    <xf numFmtId="0" fontId="49" fillId="3" borderId="26" xfId="0" applyFont="1" applyFill="1" applyBorder="1" applyAlignment="1">
      <alignment horizontal="center" vertical="center"/>
    </xf>
    <xf numFmtId="0" fontId="49" fillId="3" borderId="23" xfId="0" applyFont="1" applyFill="1" applyBorder="1" applyAlignment="1">
      <alignment horizontal="center" vertical="center"/>
    </xf>
    <xf numFmtId="0" fontId="49" fillId="3" borderId="7" xfId="0" applyFont="1" applyFill="1" applyBorder="1" applyAlignment="1">
      <alignment horizontal="center" vertical="center"/>
    </xf>
    <xf numFmtId="0" fontId="49" fillId="3" borderId="27" xfId="0" applyFont="1" applyFill="1" applyBorder="1" applyAlignment="1">
      <alignment horizontal="center" vertical="center"/>
    </xf>
    <xf numFmtId="0" fontId="50" fillId="0" borderId="24" xfId="0" applyFont="1" applyBorder="1" applyAlignment="1">
      <alignment horizontal="center" vertical="center"/>
    </xf>
    <xf numFmtId="0" fontId="50" fillId="0" borderId="25" xfId="0" applyFont="1" applyBorder="1" applyAlignment="1">
      <alignment horizontal="center" vertical="center"/>
    </xf>
    <xf numFmtId="0" fontId="50" fillId="0" borderId="52" xfId="0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0" fontId="50" fillId="0" borderId="78" xfId="0" applyFont="1" applyBorder="1" applyAlignment="1">
      <alignment horizontal="center" vertical="center"/>
    </xf>
    <xf numFmtId="0" fontId="52" fillId="0" borderId="6" xfId="0" applyFont="1" applyBorder="1" applyAlignment="1">
      <alignment vertical="center" wrapText="1"/>
    </xf>
    <xf numFmtId="0" fontId="52" fillId="0" borderId="7" xfId="0" applyFont="1" applyBorder="1" applyAlignment="1">
      <alignment vertical="center" wrapText="1"/>
    </xf>
    <xf numFmtId="0" fontId="52" fillId="0" borderId="8" xfId="0" applyFont="1" applyBorder="1" applyAlignment="1">
      <alignment vertical="center" wrapText="1"/>
    </xf>
    <xf numFmtId="0" fontId="52" fillId="0" borderId="9" xfId="0" applyFont="1" applyBorder="1" applyAlignment="1">
      <alignment horizontal="left" vertical="center" wrapText="1"/>
    </xf>
    <xf numFmtId="0" fontId="52" fillId="0" borderId="0" xfId="0" applyFont="1" applyBorder="1" applyAlignment="1">
      <alignment horizontal="left" vertical="center" wrapText="1"/>
    </xf>
    <xf numFmtId="0" fontId="52" fillId="0" borderId="5" xfId="0" applyFont="1" applyBorder="1" applyAlignment="1">
      <alignment horizontal="left" vertical="center" wrapText="1"/>
    </xf>
    <xf numFmtId="0" fontId="52" fillId="0" borderId="10" xfId="0" applyFont="1" applyBorder="1" applyAlignment="1">
      <alignment horizontal="left" vertical="center" wrapText="1"/>
    </xf>
    <xf numFmtId="0" fontId="52" fillId="0" borderId="3" xfId="0" applyFont="1" applyBorder="1" applyAlignment="1">
      <alignment horizontal="left" vertical="center" wrapText="1"/>
    </xf>
    <xf numFmtId="0" fontId="52" fillId="0" borderId="11" xfId="0" applyFont="1" applyBorder="1" applyAlignment="1">
      <alignment horizontal="left" vertical="center" wrapText="1"/>
    </xf>
    <xf numFmtId="0" fontId="52" fillId="0" borderId="6" xfId="0" applyFont="1" applyBorder="1" applyAlignment="1">
      <alignment horizontal="left" vertical="center" wrapText="1"/>
    </xf>
    <xf numFmtId="0" fontId="52" fillId="0" borderId="7" xfId="0" applyFont="1" applyBorder="1" applyAlignment="1">
      <alignment horizontal="left" vertical="center" wrapText="1"/>
    </xf>
    <xf numFmtId="0" fontId="52" fillId="0" borderId="8" xfId="0" applyFont="1" applyBorder="1" applyAlignment="1">
      <alignment horizontal="left" vertical="center" wrapText="1"/>
    </xf>
    <xf numFmtId="0" fontId="56" fillId="0" borderId="7" xfId="0" applyFont="1" applyBorder="1" applyAlignment="1">
      <alignment vertical="center"/>
    </xf>
    <xf numFmtId="0" fontId="56" fillId="0" borderId="0" xfId="0" applyFont="1" applyAlignment="1">
      <alignment vertical="center"/>
    </xf>
    <xf numFmtId="0" fontId="55" fillId="4" borderId="20" xfId="0" applyFont="1" applyFill="1" applyBorder="1" applyAlignment="1">
      <alignment horizontal="center" vertical="center"/>
    </xf>
    <xf numFmtId="0" fontId="47" fillId="0" borderId="20" xfId="0" applyFont="1" applyBorder="1" applyAlignment="1">
      <alignment horizontal="center" vertical="center"/>
    </xf>
    <xf numFmtId="0" fontId="100" fillId="0" borderId="4" xfId="0" applyFont="1" applyFill="1" applyBorder="1" applyAlignment="1">
      <alignment horizontal="left" vertical="center" wrapText="1"/>
    </xf>
    <xf numFmtId="0" fontId="100" fillId="0" borderId="4" xfId="0" applyFont="1" applyBorder="1" applyAlignment="1">
      <alignment horizontal="left" vertical="center" wrapText="1"/>
    </xf>
    <xf numFmtId="0" fontId="103" fillId="62" borderId="1" xfId="0" applyFont="1" applyFill="1" applyBorder="1" applyAlignment="1">
      <alignment horizontal="left" vertical="center" wrapText="1"/>
    </xf>
    <xf numFmtId="0" fontId="25" fillId="0" borderId="0" xfId="0" applyFont="1" applyAlignment="1">
      <alignment vertical="center" wrapText="1"/>
    </xf>
    <xf numFmtId="0" fontId="29" fillId="3" borderId="23" xfId="0" applyFont="1" applyFill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54" fillId="0" borderId="0" xfId="0" applyFont="1" applyAlignment="1">
      <alignment vertical="center" wrapText="1"/>
    </xf>
    <xf numFmtId="0" fontId="29" fillId="3" borderId="26" xfId="0" applyFont="1" applyFill="1" applyBorder="1" applyAlignment="1">
      <alignment horizontal="center" vertical="center"/>
    </xf>
    <xf numFmtId="0" fontId="29" fillId="3" borderId="27" xfId="0" applyFont="1" applyFill="1" applyBorder="1" applyAlignment="1">
      <alignment horizontal="center" vertical="center"/>
    </xf>
    <xf numFmtId="0" fontId="32" fillId="0" borderId="4" xfId="0" applyFont="1" applyBorder="1" applyAlignment="1">
      <alignment horizontal="center"/>
    </xf>
    <xf numFmtId="0" fontId="32" fillId="0" borderId="12" xfId="0" applyFont="1" applyBorder="1" applyAlignment="1">
      <alignment horizontal="center"/>
    </xf>
    <xf numFmtId="0" fontId="32" fillId="0" borderId="2" xfId="0" applyFont="1" applyBorder="1" applyAlignment="1">
      <alignment horizontal="center"/>
    </xf>
    <xf numFmtId="0" fontId="32" fillId="0" borderId="13" xfId="0" applyFont="1" applyBorder="1" applyAlignment="1">
      <alignment horizontal="center"/>
    </xf>
    <xf numFmtId="0" fontId="25" fillId="0" borderId="14" xfId="0" applyFont="1" applyBorder="1" applyAlignment="1">
      <alignment vertical="center" wrapText="1"/>
    </xf>
    <xf numFmtId="0" fontId="25" fillId="0" borderId="0" xfId="0" applyFont="1" applyBorder="1" applyAlignment="1">
      <alignment vertical="center" wrapText="1"/>
    </xf>
    <xf numFmtId="0" fontId="25" fillId="0" borderId="15" xfId="0" applyFont="1" applyBorder="1" applyAlignment="1">
      <alignment vertical="center" wrapText="1"/>
    </xf>
    <xf numFmtId="0" fontId="25" fillId="0" borderId="16" xfId="0" applyFont="1" applyBorder="1" applyAlignment="1">
      <alignment vertical="center" wrapText="1"/>
    </xf>
    <xf numFmtId="0" fontId="25" fillId="0" borderId="4" xfId="0" applyFont="1" applyBorder="1" applyAlignment="1">
      <alignment vertical="center" wrapText="1"/>
    </xf>
    <xf numFmtId="0" fontId="25" fillId="0" borderId="17" xfId="0" applyFont="1" applyBorder="1" applyAlignment="1">
      <alignment vertical="center" wrapText="1"/>
    </xf>
    <xf numFmtId="0" fontId="29" fillId="3" borderId="47" xfId="0" applyFont="1" applyFill="1" applyBorder="1" applyAlignment="1">
      <alignment horizontal="center" vertical="center"/>
    </xf>
    <xf numFmtId="0" fontId="29" fillId="3" borderId="48" xfId="0" applyFont="1" applyFill="1" applyBorder="1" applyAlignment="1">
      <alignment horizontal="center" vertical="center"/>
    </xf>
    <xf numFmtId="0" fontId="29" fillId="3" borderId="49" xfId="0" applyFont="1" applyFill="1" applyBorder="1" applyAlignment="1">
      <alignment horizontal="center" vertical="center"/>
    </xf>
    <xf numFmtId="0" fontId="25" fillId="0" borderId="18" xfId="0" applyFont="1" applyBorder="1" applyAlignment="1">
      <alignment vertical="center" wrapText="1"/>
    </xf>
    <xf numFmtId="0" fontId="25" fillId="0" borderId="1" xfId="0" applyFont="1" applyBorder="1" applyAlignment="1">
      <alignment vertical="center" wrapText="1"/>
    </xf>
    <xf numFmtId="0" fontId="25" fillId="0" borderId="19" xfId="0" applyFont="1" applyBorder="1" applyAlignment="1">
      <alignment vertical="center" wrapText="1"/>
    </xf>
    <xf numFmtId="3" fontId="40" fillId="2" borderId="12" xfId="13" applyNumberFormat="1" applyFont="1" applyFill="1" applyBorder="1" applyAlignment="1">
      <alignment horizontal="center"/>
    </xf>
    <xf numFmtId="3" fontId="40" fillId="2" borderId="2" xfId="13" applyNumberFormat="1" applyFont="1" applyFill="1" applyBorder="1" applyAlignment="1">
      <alignment horizontal="center"/>
    </xf>
    <xf numFmtId="3" fontId="40" fillId="2" borderId="13" xfId="13" applyNumberFormat="1" applyFont="1" applyFill="1" applyBorder="1" applyAlignment="1">
      <alignment horizontal="center"/>
    </xf>
    <xf numFmtId="166" fontId="10" fillId="2" borderId="21" xfId="13" applyNumberFormat="1" applyFont="1" applyFill="1" applyBorder="1" applyAlignment="1">
      <alignment horizontal="center" wrapText="1"/>
    </xf>
    <xf numFmtId="166" fontId="10" fillId="2" borderId="22" xfId="13" applyNumberFormat="1" applyFont="1" applyFill="1" applyBorder="1" applyAlignment="1">
      <alignment horizontal="center" wrapText="1"/>
    </xf>
  </cellXfs>
  <cellStyles count="20729">
    <cellStyle name="20% - Accent1 10" xfId="30"/>
    <cellStyle name="20% - Accent1 10 2" xfId="31"/>
    <cellStyle name="20% - Accent1 10 2 2" xfId="9040"/>
    <cellStyle name="20% - Accent1 10 2 2 2" xfId="16856"/>
    <cellStyle name="20% - Accent1 10 2 3" xfId="12969"/>
    <cellStyle name="20% - Accent1 10 3" xfId="9039"/>
    <cellStyle name="20% - Accent1 10 3 2" xfId="16855"/>
    <cellStyle name="20% - Accent1 10 4" xfId="12968"/>
    <cellStyle name="20% - Accent1 11" xfId="32"/>
    <cellStyle name="20% - Accent1 11 2" xfId="9041"/>
    <cellStyle name="20% - Accent1 11 2 2" xfId="16857"/>
    <cellStyle name="20% - Accent1 11 3" xfId="12970"/>
    <cellStyle name="20% - Accent1 12" xfId="33"/>
    <cellStyle name="20% - Accent1 12 2" xfId="9042"/>
    <cellStyle name="20% - Accent1 12 2 2" xfId="16858"/>
    <cellStyle name="20% - Accent1 12 3" xfId="12971"/>
    <cellStyle name="20% - Accent1 2" xfId="34"/>
    <cellStyle name="20% - Accent1 2 10" xfId="35"/>
    <cellStyle name="20% - Accent1 2 10 2" xfId="9044"/>
    <cellStyle name="20% - Accent1 2 10 2 2" xfId="16860"/>
    <cellStyle name="20% - Accent1 2 10 3" xfId="12973"/>
    <cellStyle name="20% - Accent1 2 11" xfId="9043"/>
    <cellStyle name="20% - Accent1 2 11 2" xfId="16859"/>
    <cellStyle name="20% - Accent1 2 12" xfId="12935"/>
    <cellStyle name="20% - Accent1 2 13" xfId="12972"/>
    <cellStyle name="20% - Accent1 2 2" xfId="36"/>
    <cellStyle name="20% - Accent1 2 2 10" xfId="12974"/>
    <cellStyle name="20% - Accent1 2 2 2" xfId="37"/>
    <cellStyle name="20% - Accent1 2 2 2 2" xfId="38"/>
    <cellStyle name="20% - Accent1 2 2 2 2 2" xfId="39"/>
    <cellStyle name="20% - Accent1 2 2 2 2 2 2" xfId="40"/>
    <cellStyle name="20% - Accent1 2 2 2 2 2 2 2" xfId="41"/>
    <cellStyle name="20% - Accent1 2 2 2 2 2 2 2 2" xfId="9050"/>
    <cellStyle name="20% - Accent1 2 2 2 2 2 2 2 2 2" xfId="16866"/>
    <cellStyle name="20% - Accent1 2 2 2 2 2 2 2 3" xfId="12979"/>
    <cellStyle name="20% - Accent1 2 2 2 2 2 2 3" xfId="9049"/>
    <cellStyle name="20% - Accent1 2 2 2 2 2 2 3 2" xfId="16865"/>
    <cellStyle name="20% - Accent1 2 2 2 2 2 2 4" xfId="12978"/>
    <cellStyle name="20% - Accent1 2 2 2 2 2 3" xfId="42"/>
    <cellStyle name="20% - Accent1 2 2 2 2 2 3 2" xfId="43"/>
    <cellStyle name="20% - Accent1 2 2 2 2 2 3 2 2" xfId="9052"/>
    <cellStyle name="20% - Accent1 2 2 2 2 2 3 2 2 2" xfId="16868"/>
    <cellStyle name="20% - Accent1 2 2 2 2 2 3 2 3" xfId="12981"/>
    <cellStyle name="20% - Accent1 2 2 2 2 2 3 3" xfId="9051"/>
    <cellStyle name="20% - Accent1 2 2 2 2 2 3 3 2" xfId="16867"/>
    <cellStyle name="20% - Accent1 2 2 2 2 2 3 4" xfId="12980"/>
    <cellStyle name="20% - Accent1 2 2 2 2 2 4" xfId="44"/>
    <cellStyle name="20% - Accent1 2 2 2 2 2 4 2" xfId="9053"/>
    <cellStyle name="20% - Accent1 2 2 2 2 2 4 2 2" xfId="16869"/>
    <cellStyle name="20% - Accent1 2 2 2 2 2 4 3" xfId="12982"/>
    <cellStyle name="20% - Accent1 2 2 2 2 2 5" xfId="9048"/>
    <cellStyle name="20% - Accent1 2 2 2 2 2 5 2" xfId="16864"/>
    <cellStyle name="20% - Accent1 2 2 2 2 2 6" xfId="12977"/>
    <cellStyle name="20% - Accent1 2 2 2 2 3" xfId="45"/>
    <cellStyle name="20% - Accent1 2 2 2 2 3 2" xfId="46"/>
    <cellStyle name="20% - Accent1 2 2 2 2 3 2 2" xfId="47"/>
    <cellStyle name="20% - Accent1 2 2 2 2 3 2 2 2" xfId="9056"/>
    <cellStyle name="20% - Accent1 2 2 2 2 3 2 2 2 2" xfId="16872"/>
    <cellStyle name="20% - Accent1 2 2 2 2 3 2 2 3" xfId="12985"/>
    <cellStyle name="20% - Accent1 2 2 2 2 3 2 3" xfId="9055"/>
    <cellStyle name="20% - Accent1 2 2 2 2 3 2 3 2" xfId="16871"/>
    <cellStyle name="20% - Accent1 2 2 2 2 3 2 4" xfId="12984"/>
    <cellStyle name="20% - Accent1 2 2 2 2 3 3" xfId="48"/>
    <cellStyle name="20% - Accent1 2 2 2 2 3 3 2" xfId="9057"/>
    <cellStyle name="20% - Accent1 2 2 2 2 3 3 2 2" xfId="16873"/>
    <cellStyle name="20% - Accent1 2 2 2 2 3 3 3" xfId="12986"/>
    <cellStyle name="20% - Accent1 2 2 2 2 3 4" xfId="9054"/>
    <cellStyle name="20% - Accent1 2 2 2 2 3 4 2" xfId="16870"/>
    <cellStyle name="20% - Accent1 2 2 2 2 3 5" xfId="12983"/>
    <cellStyle name="20% - Accent1 2 2 2 2 4" xfId="49"/>
    <cellStyle name="20% - Accent1 2 2 2 2 4 2" xfId="50"/>
    <cellStyle name="20% - Accent1 2 2 2 2 4 2 2" xfId="9059"/>
    <cellStyle name="20% - Accent1 2 2 2 2 4 2 2 2" xfId="16875"/>
    <cellStyle name="20% - Accent1 2 2 2 2 4 2 3" xfId="12988"/>
    <cellStyle name="20% - Accent1 2 2 2 2 4 3" xfId="9058"/>
    <cellStyle name="20% - Accent1 2 2 2 2 4 3 2" xfId="16874"/>
    <cellStyle name="20% - Accent1 2 2 2 2 4 4" xfId="12987"/>
    <cellStyle name="20% - Accent1 2 2 2 2 5" xfId="51"/>
    <cellStyle name="20% - Accent1 2 2 2 2 5 2" xfId="9060"/>
    <cellStyle name="20% - Accent1 2 2 2 2 5 2 2" xfId="16876"/>
    <cellStyle name="20% - Accent1 2 2 2 2 5 3" xfId="12989"/>
    <cellStyle name="20% - Accent1 2 2 2 2 6" xfId="9047"/>
    <cellStyle name="20% - Accent1 2 2 2 2 6 2" xfId="16863"/>
    <cellStyle name="20% - Accent1 2 2 2 2 7" xfId="12976"/>
    <cellStyle name="20% - Accent1 2 2 2 3" xfId="52"/>
    <cellStyle name="20% - Accent1 2 2 2 3 2" xfId="53"/>
    <cellStyle name="20% - Accent1 2 2 2 3 2 2" xfId="54"/>
    <cellStyle name="20% - Accent1 2 2 2 3 2 2 2" xfId="55"/>
    <cellStyle name="20% - Accent1 2 2 2 3 2 2 2 2" xfId="9064"/>
    <cellStyle name="20% - Accent1 2 2 2 3 2 2 2 2 2" xfId="16880"/>
    <cellStyle name="20% - Accent1 2 2 2 3 2 2 2 3" xfId="12993"/>
    <cellStyle name="20% - Accent1 2 2 2 3 2 2 3" xfId="9063"/>
    <cellStyle name="20% - Accent1 2 2 2 3 2 2 3 2" xfId="16879"/>
    <cellStyle name="20% - Accent1 2 2 2 3 2 2 4" xfId="12992"/>
    <cellStyle name="20% - Accent1 2 2 2 3 2 3" xfId="56"/>
    <cellStyle name="20% - Accent1 2 2 2 3 2 3 2" xfId="9065"/>
    <cellStyle name="20% - Accent1 2 2 2 3 2 3 2 2" xfId="16881"/>
    <cellStyle name="20% - Accent1 2 2 2 3 2 3 3" xfId="12994"/>
    <cellStyle name="20% - Accent1 2 2 2 3 2 4" xfId="9062"/>
    <cellStyle name="20% - Accent1 2 2 2 3 2 4 2" xfId="16878"/>
    <cellStyle name="20% - Accent1 2 2 2 3 2 5" xfId="12991"/>
    <cellStyle name="20% - Accent1 2 2 2 3 3" xfId="57"/>
    <cellStyle name="20% - Accent1 2 2 2 3 3 2" xfId="58"/>
    <cellStyle name="20% - Accent1 2 2 2 3 3 2 2" xfId="9067"/>
    <cellStyle name="20% - Accent1 2 2 2 3 3 2 2 2" xfId="16883"/>
    <cellStyle name="20% - Accent1 2 2 2 3 3 2 3" xfId="12996"/>
    <cellStyle name="20% - Accent1 2 2 2 3 3 3" xfId="9066"/>
    <cellStyle name="20% - Accent1 2 2 2 3 3 3 2" xfId="16882"/>
    <cellStyle name="20% - Accent1 2 2 2 3 3 4" xfId="12995"/>
    <cellStyle name="20% - Accent1 2 2 2 3 4" xfId="59"/>
    <cellStyle name="20% - Accent1 2 2 2 3 4 2" xfId="60"/>
    <cellStyle name="20% - Accent1 2 2 2 3 4 2 2" xfId="9069"/>
    <cellStyle name="20% - Accent1 2 2 2 3 4 2 2 2" xfId="16885"/>
    <cellStyle name="20% - Accent1 2 2 2 3 4 2 3" xfId="12998"/>
    <cellStyle name="20% - Accent1 2 2 2 3 4 3" xfId="9068"/>
    <cellStyle name="20% - Accent1 2 2 2 3 4 3 2" xfId="16884"/>
    <cellStyle name="20% - Accent1 2 2 2 3 4 4" xfId="12997"/>
    <cellStyle name="20% - Accent1 2 2 2 3 5" xfId="61"/>
    <cellStyle name="20% - Accent1 2 2 2 3 5 2" xfId="9070"/>
    <cellStyle name="20% - Accent1 2 2 2 3 5 2 2" xfId="16886"/>
    <cellStyle name="20% - Accent1 2 2 2 3 5 3" xfId="12999"/>
    <cellStyle name="20% - Accent1 2 2 2 3 6" xfId="9061"/>
    <cellStyle name="20% - Accent1 2 2 2 3 6 2" xfId="16877"/>
    <cellStyle name="20% - Accent1 2 2 2 3 7" xfId="12990"/>
    <cellStyle name="20% - Accent1 2 2 2 4" xfId="62"/>
    <cellStyle name="20% - Accent1 2 2 2 4 2" xfId="63"/>
    <cellStyle name="20% - Accent1 2 2 2 4 2 2" xfId="64"/>
    <cellStyle name="20% - Accent1 2 2 2 4 2 2 2" xfId="9073"/>
    <cellStyle name="20% - Accent1 2 2 2 4 2 2 2 2" xfId="16889"/>
    <cellStyle name="20% - Accent1 2 2 2 4 2 2 3" xfId="13002"/>
    <cellStyle name="20% - Accent1 2 2 2 4 2 3" xfId="9072"/>
    <cellStyle name="20% - Accent1 2 2 2 4 2 3 2" xfId="16888"/>
    <cellStyle name="20% - Accent1 2 2 2 4 2 4" xfId="13001"/>
    <cellStyle name="20% - Accent1 2 2 2 4 3" xfId="65"/>
    <cellStyle name="20% - Accent1 2 2 2 4 3 2" xfId="9074"/>
    <cellStyle name="20% - Accent1 2 2 2 4 3 2 2" xfId="16890"/>
    <cellStyle name="20% - Accent1 2 2 2 4 3 3" xfId="13003"/>
    <cellStyle name="20% - Accent1 2 2 2 4 4" xfId="9071"/>
    <cellStyle name="20% - Accent1 2 2 2 4 4 2" xfId="16887"/>
    <cellStyle name="20% - Accent1 2 2 2 4 5" xfId="13000"/>
    <cellStyle name="20% - Accent1 2 2 2 5" xfId="66"/>
    <cellStyle name="20% - Accent1 2 2 2 5 2" xfId="67"/>
    <cellStyle name="20% - Accent1 2 2 2 5 2 2" xfId="9076"/>
    <cellStyle name="20% - Accent1 2 2 2 5 2 2 2" xfId="16892"/>
    <cellStyle name="20% - Accent1 2 2 2 5 2 3" xfId="13005"/>
    <cellStyle name="20% - Accent1 2 2 2 5 3" xfId="9075"/>
    <cellStyle name="20% - Accent1 2 2 2 5 3 2" xfId="16891"/>
    <cellStyle name="20% - Accent1 2 2 2 5 4" xfId="13004"/>
    <cellStyle name="20% - Accent1 2 2 2 6" xfId="68"/>
    <cellStyle name="20% - Accent1 2 2 2 6 2" xfId="9077"/>
    <cellStyle name="20% - Accent1 2 2 2 6 2 2" xfId="16893"/>
    <cellStyle name="20% - Accent1 2 2 2 6 3" xfId="13006"/>
    <cellStyle name="20% - Accent1 2 2 2 7" xfId="9046"/>
    <cellStyle name="20% - Accent1 2 2 2 7 2" xfId="16862"/>
    <cellStyle name="20% - Accent1 2 2 2 8" xfId="12975"/>
    <cellStyle name="20% - Accent1 2 2 3" xfId="69"/>
    <cellStyle name="20% - Accent1 2 2 3 2" xfId="70"/>
    <cellStyle name="20% - Accent1 2 2 3 2 2" xfId="71"/>
    <cellStyle name="20% - Accent1 2 2 3 2 2 2" xfId="72"/>
    <cellStyle name="20% - Accent1 2 2 3 2 2 2 2" xfId="9081"/>
    <cellStyle name="20% - Accent1 2 2 3 2 2 2 2 2" xfId="16897"/>
    <cellStyle name="20% - Accent1 2 2 3 2 2 2 3" xfId="13010"/>
    <cellStyle name="20% - Accent1 2 2 3 2 2 3" xfId="9080"/>
    <cellStyle name="20% - Accent1 2 2 3 2 2 3 2" xfId="16896"/>
    <cellStyle name="20% - Accent1 2 2 3 2 2 4" xfId="13009"/>
    <cellStyle name="20% - Accent1 2 2 3 2 3" xfId="73"/>
    <cellStyle name="20% - Accent1 2 2 3 2 3 2" xfId="74"/>
    <cellStyle name="20% - Accent1 2 2 3 2 3 2 2" xfId="9083"/>
    <cellStyle name="20% - Accent1 2 2 3 2 3 2 2 2" xfId="16899"/>
    <cellStyle name="20% - Accent1 2 2 3 2 3 2 3" xfId="13012"/>
    <cellStyle name="20% - Accent1 2 2 3 2 3 3" xfId="9082"/>
    <cellStyle name="20% - Accent1 2 2 3 2 3 3 2" xfId="16898"/>
    <cellStyle name="20% - Accent1 2 2 3 2 3 4" xfId="13011"/>
    <cellStyle name="20% - Accent1 2 2 3 2 4" xfId="75"/>
    <cellStyle name="20% - Accent1 2 2 3 2 4 2" xfId="9084"/>
    <cellStyle name="20% - Accent1 2 2 3 2 4 2 2" xfId="16900"/>
    <cellStyle name="20% - Accent1 2 2 3 2 4 3" xfId="13013"/>
    <cellStyle name="20% - Accent1 2 2 3 2 5" xfId="9079"/>
    <cellStyle name="20% - Accent1 2 2 3 2 5 2" xfId="16895"/>
    <cellStyle name="20% - Accent1 2 2 3 2 6" xfId="13008"/>
    <cellStyle name="20% - Accent1 2 2 3 3" xfId="76"/>
    <cellStyle name="20% - Accent1 2 2 3 3 2" xfId="77"/>
    <cellStyle name="20% - Accent1 2 2 3 3 2 2" xfId="78"/>
    <cellStyle name="20% - Accent1 2 2 3 3 2 2 2" xfId="9087"/>
    <cellStyle name="20% - Accent1 2 2 3 3 2 2 2 2" xfId="16903"/>
    <cellStyle name="20% - Accent1 2 2 3 3 2 2 3" xfId="13016"/>
    <cellStyle name="20% - Accent1 2 2 3 3 2 3" xfId="9086"/>
    <cellStyle name="20% - Accent1 2 2 3 3 2 3 2" xfId="16902"/>
    <cellStyle name="20% - Accent1 2 2 3 3 2 4" xfId="13015"/>
    <cellStyle name="20% - Accent1 2 2 3 3 3" xfId="79"/>
    <cellStyle name="20% - Accent1 2 2 3 3 3 2" xfId="9088"/>
    <cellStyle name="20% - Accent1 2 2 3 3 3 2 2" xfId="16904"/>
    <cellStyle name="20% - Accent1 2 2 3 3 3 3" xfId="13017"/>
    <cellStyle name="20% - Accent1 2 2 3 3 4" xfId="9085"/>
    <cellStyle name="20% - Accent1 2 2 3 3 4 2" xfId="16901"/>
    <cellStyle name="20% - Accent1 2 2 3 3 5" xfId="13014"/>
    <cellStyle name="20% - Accent1 2 2 3 4" xfId="80"/>
    <cellStyle name="20% - Accent1 2 2 3 4 2" xfId="81"/>
    <cellStyle name="20% - Accent1 2 2 3 4 2 2" xfId="9090"/>
    <cellStyle name="20% - Accent1 2 2 3 4 2 2 2" xfId="16906"/>
    <cellStyle name="20% - Accent1 2 2 3 4 2 3" xfId="13019"/>
    <cellStyle name="20% - Accent1 2 2 3 4 3" xfId="9089"/>
    <cellStyle name="20% - Accent1 2 2 3 4 3 2" xfId="16905"/>
    <cellStyle name="20% - Accent1 2 2 3 4 4" xfId="13018"/>
    <cellStyle name="20% - Accent1 2 2 3 5" xfId="82"/>
    <cellStyle name="20% - Accent1 2 2 3 5 2" xfId="9091"/>
    <cellStyle name="20% - Accent1 2 2 3 5 2 2" xfId="16907"/>
    <cellStyle name="20% - Accent1 2 2 3 5 3" xfId="13020"/>
    <cellStyle name="20% - Accent1 2 2 3 6" xfId="9078"/>
    <cellStyle name="20% - Accent1 2 2 3 6 2" xfId="16894"/>
    <cellStyle name="20% - Accent1 2 2 3 7" xfId="13007"/>
    <cellStyle name="20% - Accent1 2 2 4" xfId="83"/>
    <cellStyle name="20% - Accent1 2 2 4 2" xfId="84"/>
    <cellStyle name="20% - Accent1 2 2 4 2 2" xfId="85"/>
    <cellStyle name="20% - Accent1 2 2 4 2 2 2" xfId="86"/>
    <cellStyle name="20% - Accent1 2 2 4 2 2 2 2" xfId="9095"/>
    <cellStyle name="20% - Accent1 2 2 4 2 2 2 2 2" xfId="16911"/>
    <cellStyle name="20% - Accent1 2 2 4 2 2 2 3" xfId="13024"/>
    <cellStyle name="20% - Accent1 2 2 4 2 2 3" xfId="9094"/>
    <cellStyle name="20% - Accent1 2 2 4 2 2 3 2" xfId="16910"/>
    <cellStyle name="20% - Accent1 2 2 4 2 2 4" xfId="13023"/>
    <cellStyle name="20% - Accent1 2 2 4 2 3" xfId="87"/>
    <cellStyle name="20% - Accent1 2 2 4 2 3 2" xfId="9096"/>
    <cellStyle name="20% - Accent1 2 2 4 2 3 2 2" xfId="16912"/>
    <cellStyle name="20% - Accent1 2 2 4 2 3 3" xfId="13025"/>
    <cellStyle name="20% - Accent1 2 2 4 2 4" xfId="9093"/>
    <cellStyle name="20% - Accent1 2 2 4 2 4 2" xfId="16909"/>
    <cellStyle name="20% - Accent1 2 2 4 2 5" xfId="13022"/>
    <cellStyle name="20% - Accent1 2 2 4 3" xfId="88"/>
    <cellStyle name="20% - Accent1 2 2 4 3 2" xfId="89"/>
    <cellStyle name="20% - Accent1 2 2 4 3 2 2" xfId="9098"/>
    <cellStyle name="20% - Accent1 2 2 4 3 2 2 2" xfId="16914"/>
    <cellStyle name="20% - Accent1 2 2 4 3 2 3" xfId="13027"/>
    <cellStyle name="20% - Accent1 2 2 4 3 3" xfId="9097"/>
    <cellStyle name="20% - Accent1 2 2 4 3 3 2" xfId="16913"/>
    <cellStyle name="20% - Accent1 2 2 4 3 4" xfId="13026"/>
    <cellStyle name="20% - Accent1 2 2 4 4" xfId="90"/>
    <cellStyle name="20% - Accent1 2 2 4 4 2" xfId="9099"/>
    <cellStyle name="20% - Accent1 2 2 4 4 2 2" xfId="16915"/>
    <cellStyle name="20% - Accent1 2 2 4 4 3" xfId="13028"/>
    <cellStyle name="20% - Accent1 2 2 4 5" xfId="9092"/>
    <cellStyle name="20% - Accent1 2 2 4 5 2" xfId="16908"/>
    <cellStyle name="20% - Accent1 2 2 4 6" xfId="13021"/>
    <cellStyle name="20% - Accent1 2 2 5" xfId="91"/>
    <cellStyle name="20% - Accent1 2 2 5 2" xfId="92"/>
    <cellStyle name="20% - Accent1 2 2 5 2 2" xfId="93"/>
    <cellStyle name="20% - Accent1 2 2 5 2 2 2" xfId="94"/>
    <cellStyle name="20% - Accent1 2 2 5 2 2 2 2" xfId="9103"/>
    <cellStyle name="20% - Accent1 2 2 5 2 2 2 2 2" xfId="16919"/>
    <cellStyle name="20% - Accent1 2 2 5 2 2 2 3" xfId="13032"/>
    <cellStyle name="20% - Accent1 2 2 5 2 2 3" xfId="9102"/>
    <cellStyle name="20% - Accent1 2 2 5 2 2 3 2" xfId="16918"/>
    <cellStyle name="20% - Accent1 2 2 5 2 2 4" xfId="13031"/>
    <cellStyle name="20% - Accent1 2 2 5 2 3" xfId="95"/>
    <cellStyle name="20% - Accent1 2 2 5 2 3 2" xfId="9104"/>
    <cellStyle name="20% - Accent1 2 2 5 2 3 2 2" xfId="16920"/>
    <cellStyle name="20% - Accent1 2 2 5 2 3 3" xfId="13033"/>
    <cellStyle name="20% - Accent1 2 2 5 2 4" xfId="9101"/>
    <cellStyle name="20% - Accent1 2 2 5 2 4 2" xfId="16917"/>
    <cellStyle name="20% - Accent1 2 2 5 2 5" xfId="13030"/>
    <cellStyle name="20% - Accent1 2 2 5 3" xfId="96"/>
    <cellStyle name="20% - Accent1 2 2 5 3 2" xfId="97"/>
    <cellStyle name="20% - Accent1 2 2 5 3 2 2" xfId="9106"/>
    <cellStyle name="20% - Accent1 2 2 5 3 2 2 2" xfId="16922"/>
    <cellStyle name="20% - Accent1 2 2 5 3 2 3" xfId="13035"/>
    <cellStyle name="20% - Accent1 2 2 5 3 3" xfId="9105"/>
    <cellStyle name="20% - Accent1 2 2 5 3 3 2" xfId="16921"/>
    <cellStyle name="20% - Accent1 2 2 5 3 4" xfId="13034"/>
    <cellStyle name="20% - Accent1 2 2 5 4" xfId="98"/>
    <cellStyle name="20% - Accent1 2 2 5 4 2" xfId="99"/>
    <cellStyle name="20% - Accent1 2 2 5 4 2 2" xfId="9108"/>
    <cellStyle name="20% - Accent1 2 2 5 4 2 2 2" xfId="16924"/>
    <cellStyle name="20% - Accent1 2 2 5 4 2 3" xfId="13037"/>
    <cellStyle name="20% - Accent1 2 2 5 4 3" xfId="9107"/>
    <cellStyle name="20% - Accent1 2 2 5 4 3 2" xfId="16923"/>
    <cellStyle name="20% - Accent1 2 2 5 4 4" xfId="13036"/>
    <cellStyle name="20% - Accent1 2 2 5 5" xfId="100"/>
    <cellStyle name="20% - Accent1 2 2 5 5 2" xfId="9109"/>
    <cellStyle name="20% - Accent1 2 2 5 5 2 2" xfId="16925"/>
    <cellStyle name="20% - Accent1 2 2 5 5 3" xfId="13038"/>
    <cellStyle name="20% - Accent1 2 2 5 6" xfId="9100"/>
    <cellStyle name="20% - Accent1 2 2 5 6 2" xfId="16916"/>
    <cellStyle name="20% - Accent1 2 2 5 7" xfId="13029"/>
    <cellStyle name="20% - Accent1 2 2 6" xfId="101"/>
    <cellStyle name="20% - Accent1 2 2 6 2" xfId="102"/>
    <cellStyle name="20% - Accent1 2 2 6 2 2" xfId="103"/>
    <cellStyle name="20% - Accent1 2 2 6 2 2 2" xfId="9112"/>
    <cellStyle name="20% - Accent1 2 2 6 2 2 2 2" xfId="16928"/>
    <cellStyle name="20% - Accent1 2 2 6 2 2 3" xfId="13041"/>
    <cellStyle name="20% - Accent1 2 2 6 2 3" xfId="9111"/>
    <cellStyle name="20% - Accent1 2 2 6 2 3 2" xfId="16927"/>
    <cellStyle name="20% - Accent1 2 2 6 2 4" xfId="13040"/>
    <cellStyle name="20% - Accent1 2 2 6 3" xfId="104"/>
    <cellStyle name="20% - Accent1 2 2 6 3 2" xfId="9113"/>
    <cellStyle name="20% - Accent1 2 2 6 3 2 2" xfId="16929"/>
    <cellStyle name="20% - Accent1 2 2 6 3 3" xfId="13042"/>
    <cellStyle name="20% - Accent1 2 2 6 4" xfId="9110"/>
    <cellStyle name="20% - Accent1 2 2 6 4 2" xfId="16926"/>
    <cellStyle name="20% - Accent1 2 2 6 5" xfId="13039"/>
    <cellStyle name="20% - Accent1 2 2 7" xfId="105"/>
    <cellStyle name="20% - Accent1 2 2 7 2" xfId="106"/>
    <cellStyle name="20% - Accent1 2 2 7 2 2" xfId="9115"/>
    <cellStyle name="20% - Accent1 2 2 7 2 2 2" xfId="16931"/>
    <cellStyle name="20% - Accent1 2 2 7 2 3" xfId="13044"/>
    <cellStyle name="20% - Accent1 2 2 7 3" xfId="9114"/>
    <cellStyle name="20% - Accent1 2 2 7 3 2" xfId="16930"/>
    <cellStyle name="20% - Accent1 2 2 7 4" xfId="13043"/>
    <cellStyle name="20% - Accent1 2 2 8" xfId="107"/>
    <cellStyle name="20% - Accent1 2 2 8 2" xfId="9116"/>
    <cellStyle name="20% - Accent1 2 2 8 2 2" xfId="16932"/>
    <cellStyle name="20% - Accent1 2 2 8 3" xfId="13045"/>
    <cellStyle name="20% - Accent1 2 2 9" xfId="9045"/>
    <cellStyle name="20% - Accent1 2 2 9 2" xfId="16861"/>
    <cellStyle name="20% - Accent1 2 3" xfId="108"/>
    <cellStyle name="20% - Accent1 2 3 2" xfId="109"/>
    <cellStyle name="20% - Accent1 2 3 2 2" xfId="110"/>
    <cellStyle name="20% - Accent1 2 3 2 2 2" xfId="111"/>
    <cellStyle name="20% - Accent1 2 3 2 2 2 2" xfId="112"/>
    <cellStyle name="20% - Accent1 2 3 2 2 2 2 2" xfId="9121"/>
    <cellStyle name="20% - Accent1 2 3 2 2 2 2 2 2" xfId="16937"/>
    <cellStyle name="20% - Accent1 2 3 2 2 2 2 3" xfId="13050"/>
    <cellStyle name="20% - Accent1 2 3 2 2 2 3" xfId="9120"/>
    <cellStyle name="20% - Accent1 2 3 2 2 2 3 2" xfId="16936"/>
    <cellStyle name="20% - Accent1 2 3 2 2 2 4" xfId="13049"/>
    <cellStyle name="20% - Accent1 2 3 2 2 3" xfId="113"/>
    <cellStyle name="20% - Accent1 2 3 2 2 3 2" xfId="114"/>
    <cellStyle name="20% - Accent1 2 3 2 2 3 2 2" xfId="9123"/>
    <cellStyle name="20% - Accent1 2 3 2 2 3 2 2 2" xfId="16939"/>
    <cellStyle name="20% - Accent1 2 3 2 2 3 2 3" xfId="13052"/>
    <cellStyle name="20% - Accent1 2 3 2 2 3 3" xfId="9122"/>
    <cellStyle name="20% - Accent1 2 3 2 2 3 3 2" xfId="16938"/>
    <cellStyle name="20% - Accent1 2 3 2 2 3 4" xfId="13051"/>
    <cellStyle name="20% - Accent1 2 3 2 2 4" xfId="115"/>
    <cellStyle name="20% - Accent1 2 3 2 2 4 2" xfId="9124"/>
    <cellStyle name="20% - Accent1 2 3 2 2 4 2 2" xfId="16940"/>
    <cellStyle name="20% - Accent1 2 3 2 2 4 3" xfId="13053"/>
    <cellStyle name="20% - Accent1 2 3 2 2 5" xfId="9119"/>
    <cellStyle name="20% - Accent1 2 3 2 2 5 2" xfId="16935"/>
    <cellStyle name="20% - Accent1 2 3 2 2 6" xfId="13048"/>
    <cellStyle name="20% - Accent1 2 3 2 3" xfId="116"/>
    <cellStyle name="20% - Accent1 2 3 2 3 2" xfId="117"/>
    <cellStyle name="20% - Accent1 2 3 2 3 2 2" xfId="118"/>
    <cellStyle name="20% - Accent1 2 3 2 3 2 2 2" xfId="9127"/>
    <cellStyle name="20% - Accent1 2 3 2 3 2 2 2 2" xfId="16943"/>
    <cellStyle name="20% - Accent1 2 3 2 3 2 2 3" xfId="13056"/>
    <cellStyle name="20% - Accent1 2 3 2 3 2 3" xfId="9126"/>
    <cellStyle name="20% - Accent1 2 3 2 3 2 3 2" xfId="16942"/>
    <cellStyle name="20% - Accent1 2 3 2 3 2 4" xfId="13055"/>
    <cellStyle name="20% - Accent1 2 3 2 3 3" xfId="119"/>
    <cellStyle name="20% - Accent1 2 3 2 3 3 2" xfId="9128"/>
    <cellStyle name="20% - Accent1 2 3 2 3 3 2 2" xfId="16944"/>
    <cellStyle name="20% - Accent1 2 3 2 3 3 3" xfId="13057"/>
    <cellStyle name="20% - Accent1 2 3 2 3 4" xfId="9125"/>
    <cellStyle name="20% - Accent1 2 3 2 3 4 2" xfId="16941"/>
    <cellStyle name="20% - Accent1 2 3 2 3 5" xfId="13054"/>
    <cellStyle name="20% - Accent1 2 3 2 4" xfId="120"/>
    <cellStyle name="20% - Accent1 2 3 2 4 2" xfId="121"/>
    <cellStyle name="20% - Accent1 2 3 2 4 2 2" xfId="9130"/>
    <cellStyle name="20% - Accent1 2 3 2 4 2 2 2" xfId="16946"/>
    <cellStyle name="20% - Accent1 2 3 2 4 2 3" xfId="13059"/>
    <cellStyle name="20% - Accent1 2 3 2 4 3" xfId="9129"/>
    <cellStyle name="20% - Accent1 2 3 2 4 3 2" xfId="16945"/>
    <cellStyle name="20% - Accent1 2 3 2 4 4" xfId="13058"/>
    <cellStyle name="20% - Accent1 2 3 2 5" xfId="122"/>
    <cellStyle name="20% - Accent1 2 3 2 5 2" xfId="9131"/>
    <cellStyle name="20% - Accent1 2 3 2 5 2 2" xfId="16947"/>
    <cellStyle name="20% - Accent1 2 3 2 5 3" xfId="13060"/>
    <cellStyle name="20% - Accent1 2 3 2 6" xfId="9118"/>
    <cellStyle name="20% - Accent1 2 3 2 6 2" xfId="16934"/>
    <cellStyle name="20% - Accent1 2 3 2 7" xfId="13047"/>
    <cellStyle name="20% - Accent1 2 3 3" xfId="123"/>
    <cellStyle name="20% - Accent1 2 3 3 2" xfId="124"/>
    <cellStyle name="20% - Accent1 2 3 3 2 2" xfId="125"/>
    <cellStyle name="20% - Accent1 2 3 3 2 2 2" xfId="126"/>
    <cellStyle name="20% - Accent1 2 3 3 2 2 2 2" xfId="9135"/>
    <cellStyle name="20% - Accent1 2 3 3 2 2 2 2 2" xfId="16951"/>
    <cellStyle name="20% - Accent1 2 3 3 2 2 2 3" xfId="13064"/>
    <cellStyle name="20% - Accent1 2 3 3 2 2 3" xfId="9134"/>
    <cellStyle name="20% - Accent1 2 3 3 2 2 3 2" xfId="16950"/>
    <cellStyle name="20% - Accent1 2 3 3 2 2 4" xfId="13063"/>
    <cellStyle name="20% - Accent1 2 3 3 2 3" xfId="127"/>
    <cellStyle name="20% - Accent1 2 3 3 2 3 2" xfId="9136"/>
    <cellStyle name="20% - Accent1 2 3 3 2 3 2 2" xfId="16952"/>
    <cellStyle name="20% - Accent1 2 3 3 2 3 3" xfId="13065"/>
    <cellStyle name="20% - Accent1 2 3 3 2 4" xfId="9133"/>
    <cellStyle name="20% - Accent1 2 3 3 2 4 2" xfId="16949"/>
    <cellStyle name="20% - Accent1 2 3 3 2 5" xfId="13062"/>
    <cellStyle name="20% - Accent1 2 3 3 3" xfId="128"/>
    <cellStyle name="20% - Accent1 2 3 3 3 2" xfId="129"/>
    <cellStyle name="20% - Accent1 2 3 3 3 2 2" xfId="9138"/>
    <cellStyle name="20% - Accent1 2 3 3 3 2 2 2" xfId="16954"/>
    <cellStyle name="20% - Accent1 2 3 3 3 2 3" xfId="13067"/>
    <cellStyle name="20% - Accent1 2 3 3 3 3" xfId="9137"/>
    <cellStyle name="20% - Accent1 2 3 3 3 3 2" xfId="16953"/>
    <cellStyle name="20% - Accent1 2 3 3 3 4" xfId="13066"/>
    <cellStyle name="20% - Accent1 2 3 3 4" xfId="130"/>
    <cellStyle name="20% - Accent1 2 3 3 4 2" xfId="131"/>
    <cellStyle name="20% - Accent1 2 3 3 4 2 2" xfId="9140"/>
    <cellStyle name="20% - Accent1 2 3 3 4 2 2 2" xfId="16956"/>
    <cellStyle name="20% - Accent1 2 3 3 4 2 3" xfId="13069"/>
    <cellStyle name="20% - Accent1 2 3 3 4 3" xfId="9139"/>
    <cellStyle name="20% - Accent1 2 3 3 4 3 2" xfId="16955"/>
    <cellStyle name="20% - Accent1 2 3 3 4 4" xfId="13068"/>
    <cellStyle name="20% - Accent1 2 3 3 5" xfId="132"/>
    <cellStyle name="20% - Accent1 2 3 3 5 2" xfId="9141"/>
    <cellStyle name="20% - Accent1 2 3 3 5 2 2" xfId="16957"/>
    <cellStyle name="20% - Accent1 2 3 3 5 3" xfId="13070"/>
    <cellStyle name="20% - Accent1 2 3 3 6" xfId="9132"/>
    <cellStyle name="20% - Accent1 2 3 3 6 2" xfId="16948"/>
    <cellStyle name="20% - Accent1 2 3 3 7" xfId="13061"/>
    <cellStyle name="20% - Accent1 2 3 4" xfId="133"/>
    <cellStyle name="20% - Accent1 2 3 4 2" xfId="134"/>
    <cellStyle name="20% - Accent1 2 3 4 2 2" xfId="135"/>
    <cellStyle name="20% - Accent1 2 3 4 2 2 2" xfId="9144"/>
    <cellStyle name="20% - Accent1 2 3 4 2 2 2 2" xfId="16960"/>
    <cellStyle name="20% - Accent1 2 3 4 2 2 3" xfId="13073"/>
    <cellStyle name="20% - Accent1 2 3 4 2 3" xfId="9143"/>
    <cellStyle name="20% - Accent1 2 3 4 2 3 2" xfId="16959"/>
    <cellStyle name="20% - Accent1 2 3 4 2 4" xfId="13072"/>
    <cellStyle name="20% - Accent1 2 3 4 3" xfId="136"/>
    <cellStyle name="20% - Accent1 2 3 4 3 2" xfId="9145"/>
    <cellStyle name="20% - Accent1 2 3 4 3 2 2" xfId="16961"/>
    <cellStyle name="20% - Accent1 2 3 4 3 3" xfId="13074"/>
    <cellStyle name="20% - Accent1 2 3 4 4" xfId="9142"/>
    <cellStyle name="20% - Accent1 2 3 4 4 2" xfId="16958"/>
    <cellStyle name="20% - Accent1 2 3 4 5" xfId="13071"/>
    <cellStyle name="20% - Accent1 2 3 5" xfId="137"/>
    <cellStyle name="20% - Accent1 2 3 5 2" xfId="138"/>
    <cellStyle name="20% - Accent1 2 3 5 2 2" xfId="9147"/>
    <cellStyle name="20% - Accent1 2 3 5 2 2 2" xfId="16963"/>
    <cellStyle name="20% - Accent1 2 3 5 2 3" xfId="13076"/>
    <cellStyle name="20% - Accent1 2 3 5 3" xfId="9146"/>
    <cellStyle name="20% - Accent1 2 3 5 3 2" xfId="16962"/>
    <cellStyle name="20% - Accent1 2 3 5 4" xfId="13075"/>
    <cellStyle name="20% - Accent1 2 3 6" xfId="139"/>
    <cellStyle name="20% - Accent1 2 3 6 2" xfId="9148"/>
    <cellStyle name="20% - Accent1 2 3 6 2 2" xfId="16964"/>
    <cellStyle name="20% - Accent1 2 3 6 3" xfId="13077"/>
    <cellStyle name="20% - Accent1 2 3 7" xfId="9117"/>
    <cellStyle name="20% - Accent1 2 3 7 2" xfId="16933"/>
    <cellStyle name="20% - Accent1 2 3 8" xfId="13046"/>
    <cellStyle name="20% - Accent1 2 4" xfId="140"/>
    <cellStyle name="20% - Accent1 2 4 2" xfId="141"/>
    <cellStyle name="20% - Accent1 2 4 2 2" xfId="142"/>
    <cellStyle name="20% - Accent1 2 4 2 2 2" xfId="143"/>
    <cellStyle name="20% - Accent1 2 4 2 2 2 2" xfId="9152"/>
    <cellStyle name="20% - Accent1 2 4 2 2 2 2 2" xfId="16968"/>
    <cellStyle name="20% - Accent1 2 4 2 2 2 3" xfId="13081"/>
    <cellStyle name="20% - Accent1 2 4 2 2 3" xfId="9151"/>
    <cellStyle name="20% - Accent1 2 4 2 2 3 2" xfId="16967"/>
    <cellStyle name="20% - Accent1 2 4 2 2 4" xfId="13080"/>
    <cellStyle name="20% - Accent1 2 4 2 3" xfId="144"/>
    <cellStyle name="20% - Accent1 2 4 2 3 2" xfId="145"/>
    <cellStyle name="20% - Accent1 2 4 2 3 2 2" xfId="9154"/>
    <cellStyle name="20% - Accent1 2 4 2 3 2 2 2" xfId="16970"/>
    <cellStyle name="20% - Accent1 2 4 2 3 2 3" xfId="13083"/>
    <cellStyle name="20% - Accent1 2 4 2 3 3" xfId="9153"/>
    <cellStyle name="20% - Accent1 2 4 2 3 3 2" xfId="16969"/>
    <cellStyle name="20% - Accent1 2 4 2 3 4" xfId="13082"/>
    <cellStyle name="20% - Accent1 2 4 2 4" xfId="146"/>
    <cellStyle name="20% - Accent1 2 4 2 4 2" xfId="9155"/>
    <cellStyle name="20% - Accent1 2 4 2 4 2 2" xfId="16971"/>
    <cellStyle name="20% - Accent1 2 4 2 4 3" xfId="13084"/>
    <cellStyle name="20% - Accent1 2 4 2 5" xfId="9150"/>
    <cellStyle name="20% - Accent1 2 4 2 5 2" xfId="16966"/>
    <cellStyle name="20% - Accent1 2 4 2 6" xfId="13079"/>
    <cellStyle name="20% - Accent1 2 4 3" xfId="147"/>
    <cellStyle name="20% - Accent1 2 4 3 2" xfId="148"/>
    <cellStyle name="20% - Accent1 2 4 3 2 2" xfId="149"/>
    <cellStyle name="20% - Accent1 2 4 3 2 2 2" xfId="9158"/>
    <cellStyle name="20% - Accent1 2 4 3 2 2 2 2" xfId="16974"/>
    <cellStyle name="20% - Accent1 2 4 3 2 2 3" xfId="13087"/>
    <cellStyle name="20% - Accent1 2 4 3 2 3" xfId="9157"/>
    <cellStyle name="20% - Accent1 2 4 3 2 3 2" xfId="16973"/>
    <cellStyle name="20% - Accent1 2 4 3 2 4" xfId="13086"/>
    <cellStyle name="20% - Accent1 2 4 3 3" xfId="150"/>
    <cellStyle name="20% - Accent1 2 4 3 3 2" xfId="9159"/>
    <cellStyle name="20% - Accent1 2 4 3 3 2 2" xfId="16975"/>
    <cellStyle name="20% - Accent1 2 4 3 3 3" xfId="13088"/>
    <cellStyle name="20% - Accent1 2 4 3 4" xfId="9156"/>
    <cellStyle name="20% - Accent1 2 4 3 4 2" xfId="16972"/>
    <cellStyle name="20% - Accent1 2 4 3 5" xfId="13085"/>
    <cellStyle name="20% - Accent1 2 4 4" xfId="151"/>
    <cellStyle name="20% - Accent1 2 4 4 2" xfId="152"/>
    <cellStyle name="20% - Accent1 2 4 4 2 2" xfId="9161"/>
    <cellStyle name="20% - Accent1 2 4 4 2 2 2" xfId="16977"/>
    <cellStyle name="20% - Accent1 2 4 4 2 3" xfId="13090"/>
    <cellStyle name="20% - Accent1 2 4 4 3" xfId="9160"/>
    <cellStyle name="20% - Accent1 2 4 4 3 2" xfId="16976"/>
    <cellStyle name="20% - Accent1 2 4 4 4" xfId="13089"/>
    <cellStyle name="20% - Accent1 2 4 5" xfId="153"/>
    <cellStyle name="20% - Accent1 2 4 5 2" xfId="9162"/>
    <cellStyle name="20% - Accent1 2 4 5 2 2" xfId="16978"/>
    <cellStyle name="20% - Accent1 2 4 5 3" xfId="13091"/>
    <cellStyle name="20% - Accent1 2 4 6" xfId="9149"/>
    <cellStyle name="20% - Accent1 2 4 6 2" xfId="16965"/>
    <cellStyle name="20% - Accent1 2 4 7" xfId="13078"/>
    <cellStyle name="20% - Accent1 2 5" xfId="154"/>
    <cellStyle name="20% - Accent1 2 5 2" xfId="155"/>
    <cellStyle name="20% - Accent1 2 5 2 2" xfId="156"/>
    <cellStyle name="20% - Accent1 2 5 2 2 2" xfId="157"/>
    <cellStyle name="20% - Accent1 2 5 2 2 2 2" xfId="9166"/>
    <cellStyle name="20% - Accent1 2 5 2 2 2 2 2" xfId="16982"/>
    <cellStyle name="20% - Accent1 2 5 2 2 2 3" xfId="13095"/>
    <cellStyle name="20% - Accent1 2 5 2 2 3" xfId="9165"/>
    <cellStyle name="20% - Accent1 2 5 2 2 3 2" xfId="16981"/>
    <cellStyle name="20% - Accent1 2 5 2 2 4" xfId="13094"/>
    <cellStyle name="20% - Accent1 2 5 2 3" xfId="158"/>
    <cellStyle name="20% - Accent1 2 5 2 3 2" xfId="9167"/>
    <cellStyle name="20% - Accent1 2 5 2 3 2 2" xfId="16983"/>
    <cellStyle name="20% - Accent1 2 5 2 3 3" xfId="13096"/>
    <cellStyle name="20% - Accent1 2 5 2 4" xfId="9164"/>
    <cellStyle name="20% - Accent1 2 5 2 4 2" xfId="16980"/>
    <cellStyle name="20% - Accent1 2 5 2 5" xfId="13093"/>
    <cellStyle name="20% - Accent1 2 5 3" xfId="159"/>
    <cellStyle name="20% - Accent1 2 5 3 2" xfId="160"/>
    <cellStyle name="20% - Accent1 2 5 3 2 2" xfId="9169"/>
    <cellStyle name="20% - Accent1 2 5 3 2 2 2" xfId="16985"/>
    <cellStyle name="20% - Accent1 2 5 3 2 3" xfId="13098"/>
    <cellStyle name="20% - Accent1 2 5 3 3" xfId="9168"/>
    <cellStyle name="20% - Accent1 2 5 3 3 2" xfId="16984"/>
    <cellStyle name="20% - Accent1 2 5 3 4" xfId="13097"/>
    <cellStyle name="20% - Accent1 2 5 4" xfId="161"/>
    <cellStyle name="20% - Accent1 2 5 4 2" xfId="9170"/>
    <cellStyle name="20% - Accent1 2 5 4 2 2" xfId="16986"/>
    <cellStyle name="20% - Accent1 2 5 4 3" xfId="13099"/>
    <cellStyle name="20% - Accent1 2 5 5" xfId="9163"/>
    <cellStyle name="20% - Accent1 2 5 5 2" xfId="16979"/>
    <cellStyle name="20% - Accent1 2 5 6" xfId="13092"/>
    <cellStyle name="20% - Accent1 2 6" xfId="162"/>
    <cellStyle name="20% - Accent1 2 6 2" xfId="163"/>
    <cellStyle name="20% - Accent1 2 6 2 2" xfId="164"/>
    <cellStyle name="20% - Accent1 2 6 2 2 2" xfId="165"/>
    <cellStyle name="20% - Accent1 2 6 2 2 2 2" xfId="9174"/>
    <cellStyle name="20% - Accent1 2 6 2 2 2 2 2" xfId="16990"/>
    <cellStyle name="20% - Accent1 2 6 2 2 2 3" xfId="13103"/>
    <cellStyle name="20% - Accent1 2 6 2 2 3" xfId="9173"/>
    <cellStyle name="20% - Accent1 2 6 2 2 3 2" xfId="16989"/>
    <cellStyle name="20% - Accent1 2 6 2 2 4" xfId="13102"/>
    <cellStyle name="20% - Accent1 2 6 2 3" xfId="166"/>
    <cellStyle name="20% - Accent1 2 6 2 3 2" xfId="9175"/>
    <cellStyle name="20% - Accent1 2 6 2 3 2 2" xfId="16991"/>
    <cellStyle name="20% - Accent1 2 6 2 3 3" xfId="13104"/>
    <cellStyle name="20% - Accent1 2 6 2 4" xfId="9172"/>
    <cellStyle name="20% - Accent1 2 6 2 4 2" xfId="16988"/>
    <cellStyle name="20% - Accent1 2 6 2 5" xfId="13101"/>
    <cellStyle name="20% - Accent1 2 6 3" xfId="167"/>
    <cellStyle name="20% - Accent1 2 6 3 2" xfId="168"/>
    <cellStyle name="20% - Accent1 2 6 3 2 2" xfId="9177"/>
    <cellStyle name="20% - Accent1 2 6 3 2 2 2" xfId="16993"/>
    <cellStyle name="20% - Accent1 2 6 3 2 3" xfId="13106"/>
    <cellStyle name="20% - Accent1 2 6 3 3" xfId="9176"/>
    <cellStyle name="20% - Accent1 2 6 3 3 2" xfId="16992"/>
    <cellStyle name="20% - Accent1 2 6 3 4" xfId="13105"/>
    <cellStyle name="20% - Accent1 2 6 4" xfId="169"/>
    <cellStyle name="20% - Accent1 2 6 4 2" xfId="9178"/>
    <cellStyle name="20% - Accent1 2 6 4 2 2" xfId="16994"/>
    <cellStyle name="20% - Accent1 2 6 4 3" xfId="13107"/>
    <cellStyle name="20% - Accent1 2 6 5" xfId="9171"/>
    <cellStyle name="20% - Accent1 2 6 5 2" xfId="16987"/>
    <cellStyle name="20% - Accent1 2 6 6" xfId="13100"/>
    <cellStyle name="20% - Accent1 2 7" xfId="170"/>
    <cellStyle name="20% - Accent1 2 7 2" xfId="171"/>
    <cellStyle name="20% - Accent1 2 7 2 2" xfId="172"/>
    <cellStyle name="20% - Accent1 2 7 2 2 2" xfId="9181"/>
    <cellStyle name="20% - Accent1 2 7 2 2 2 2" xfId="16997"/>
    <cellStyle name="20% - Accent1 2 7 2 2 3" xfId="13110"/>
    <cellStyle name="20% - Accent1 2 7 2 3" xfId="9180"/>
    <cellStyle name="20% - Accent1 2 7 2 3 2" xfId="16996"/>
    <cellStyle name="20% - Accent1 2 7 2 4" xfId="13109"/>
    <cellStyle name="20% - Accent1 2 7 3" xfId="173"/>
    <cellStyle name="20% - Accent1 2 7 3 2" xfId="9182"/>
    <cellStyle name="20% - Accent1 2 7 3 2 2" xfId="16998"/>
    <cellStyle name="20% - Accent1 2 7 3 3" xfId="13111"/>
    <cellStyle name="20% - Accent1 2 7 4" xfId="9179"/>
    <cellStyle name="20% - Accent1 2 7 4 2" xfId="16995"/>
    <cellStyle name="20% - Accent1 2 7 5" xfId="13108"/>
    <cellStyle name="20% - Accent1 2 8" xfId="174"/>
    <cellStyle name="20% - Accent1 2 8 2" xfId="175"/>
    <cellStyle name="20% - Accent1 2 8 2 2" xfId="9184"/>
    <cellStyle name="20% - Accent1 2 8 2 2 2" xfId="17000"/>
    <cellStyle name="20% - Accent1 2 8 2 3" xfId="13113"/>
    <cellStyle name="20% - Accent1 2 8 3" xfId="9183"/>
    <cellStyle name="20% - Accent1 2 8 3 2" xfId="16999"/>
    <cellStyle name="20% - Accent1 2 8 4" xfId="13112"/>
    <cellStyle name="20% - Accent1 2 9" xfId="176"/>
    <cellStyle name="20% - Accent1 2 9 2" xfId="177"/>
    <cellStyle name="20% - Accent1 2 9 2 2" xfId="9186"/>
    <cellStyle name="20% - Accent1 2 9 2 2 2" xfId="17002"/>
    <cellStyle name="20% - Accent1 2 9 2 3" xfId="13115"/>
    <cellStyle name="20% - Accent1 2 9 3" xfId="9185"/>
    <cellStyle name="20% - Accent1 2 9 3 2" xfId="17001"/>
    <cellStyle name="20% - Accent1 2 9 4" xfId="13114"/>
    <cellStyle name="20% - Accent1 3" xfId="178"/>
    <cellStyle name="20% - Accent1 3 2" xfId="179"/>
    <cellStyle name="20% - Accent1 3 2 2" xfId="180"/>
    <cellStyle name="20% - Accent1 3 2 2 2" xfId="181"/>
    <cellStyle name="20% - Accent1 3 2 2 2 2" xfId="182"/>
    <cellStyle name="20% - Accent1 3 2 2 2 2 2" xfId="183"/>
    <cellStyle name="20% - Accent1 3 2 2 2 2 2 2" xfId="9191"/>
    <cellStyle name="20% - Accent1 3 2 2 2 2 2 2 2" xfId="17007"/>
    <cellStyle name="20% - Accent1 3 2 2 2 2 2 3" xfId="13120"/>
    <cellStyle name="20% - Accent1 3 2 2 2 2 3" xfId="9190"/>
    <cellStyle name="20% - Accent1 3 2 2 2 2 3 2" xfId="17006"/>
    <cellStyle name="20% - Accent1 3 2 2 2 2 4" xfId="13119"/>
    <cellStyle name="20% - Accent1 3 2 2 2 3" xfId="184"/>
    <cellStyle name="20% - Accent1 3 2 2 2 3 2" xfId="185"/>
    <cellStyle name="20% - Accent1 3 2 2 2 3 2 2" xfId="9193"/>
    <cellStyle name="20% - Accent1 3 2 2 2 3 2 2 2" xfId="17009"/>
    <cellStyle name="20% - Accent1 3 2 2 2 3 2 3" xfId="13122"/>
    <cellStyle name="20% - Accent1 3 2 2 2 3 3" xfId="9192"/>
    <cellStyle name="20% - Accent1 3 2 2 2 3 3 2" xfId="17008"/>
    <cellStyle name="20% - Accent1 3 2 2 2 3 4" xfId="13121"/>
    <cellStyle name="20% - Accent1 3 2 2 2 4" xfId="186"/>
    <cellStyle name="20% - Accent1 3 2 2 2 4 2" xfId="9194"/>
    <cellStyle name="20% - Accent1 3 2 2 2 4 2 2" xfId="17010"/>
    <cellStyle name="20% - Accent1 3 2 2 2 4 3" xfId="13123"/>
    <cellStyle name="20% - Accent1 3 2 2 2 5" xfId="9189"/>
    <cellStyle name="20% - Accent1 3 2 2 2 5 2" xfId="17005"/>
    <cellStyle name="20% - Accent1 3 2 2 2 6" xfId="13118"/>
    <cellStyle name="20% - Accent1 3 2 2 3" xfId="187"/>
    <cellStyle name="20% - Accent1 3 2 2 3 2" xfId="188"/>
    <cellStyle name="20% - Accent1 3 2 2 3 2 2" xfId="189"/>
    <cellStyle name="20% - Accent1 3 2 2 3 2 2 2" xfId="9197"/>
    <cellStyle name="20% - Accent1 3 2 2 3 2 2 2 2" xfId="17013"/>
    <cellStyle name="20% - Accent1 3 2 2 3 2 2 3" xfId="13126"/>
    <cellStyle name="20% - Accent1 3 2 2 3 2 3" xfId="9196"/>
    <cellStyle name="20% - Accent1 3 2 2 3 2 3 2" xfId="17012"/>
    <cellStyle name="20% - Accent1 3 2 2 3 2 4" xfId="13125"/>
    <cellStyle name="20% - Accent1 3 2 2 3 3" xfId="190"/>
    <cellStyle name="20% - Accent1 3 2 2 3 3 2" xfId="9198"/>
    <cellStyle name="20% - Accent1 3 2 2 3 3 2 2" xfId="17014"/>
    <cellStyle name="20% - Accent1 3 2 2 3 3 3" xfId="13127"/>
    <cellStyle name="20% - Accent1 3 2 2 3 4" xfId="9195"/>
    <cellStyle name="20% - Accent1 3 2 2 3 4 2" xfId="17011"/>
    <cellStyle name="20% - Accent1 3 2 2 3 5" xfId="13124"/>
    <cellStyle name="20% - Accent1 3 2 2 4" xfId="191"/>
    <cellStyle name="20% - Accent1 3 2 2 4 2" xfId="192"/>
    <cellStyle name="20% - Accent1 3 2 2 4 2 2" xfId="9200"/>
    <cellStyle name="20% - Accent1 3 2 2 4 2 2 2" xfId="17016"/>
    <cellStyle name="20% - Accent1 3 2 2 4 2 3" xfId="13129"/>
    <cellStyle name="20% - Accent1 3 2 2 4 3" xfId="9199"/>
    <cellStyle name="20% - Accent1 3 2 2 4 3 2" xfId="17015"/>
    <cellStyle name="20% - Accent1 3 2 2 4 4" xfId="13128"/>
    <cellStyle name="20% - Accent1 3 2 2 5" xfId="193"/>
    <cellStyle name="20% - Accent1 3 2 2 5 2" xfId="9201"/>
    <cellStyle name="20% - Accent1 3 2 2 5 2 2" xfId="17017"/>
    <cellStyle name="20% - Accent1 3 2 2 5 3" xfId="13130"/>
    <cellStyle name="20% - Accent1 3 2 2 6" xfId="9188"/>
    <cellStyle name="20% - Accent1 3 2 2 6 2" xfId="17004"/>
    <cellStyle name="20% - Accent1 3 2 2 7" xfId="13117"/>
    <cellStyle name="20% - Accent1 3 2 3" xfId="194"/>
    <cellStyle name="20% - Accent1 3 2 3 2" xfId="195"/>
    <cellStyle name="20% - Accent1 3 2 3 2 2" xfId="196"/>
    <cellStyle name="20% - Accent1 3 2 3 2 2 2" xfId="197"/>
    <cellStyle name="20% - Accent1 3 2 3 2 2 2 2" xfId="9205"/>
    <cellStyle name="20% - Accent1 3 2 3 2 2 2 2 2" xfId="17021"/>
    <cellStyle name="20% - Accent1 3 2 3 2 2 2 3" xfId="13134"/>
    <cellStyle name="20% - Accent1 3 2 3 2 2 3" xfId="9204"/>
    <cellStyle name="20% - Accent1 3 2 3 2 2 3 2" xfId="17020"/>
    <cellStyle name="20% - Accent1 3 2 3 2 2 4" xfId="13133"/>
    <cellStyle name="20% - Accent1 3 2 3 2 3" xfId="198"/>
    <cellStyle name="20% - Accent1 3 2 3 2 3 2" xfId="9206"/>
    <cellStyle name="20% - Accent1 3 2 3 2 3 2 2" xfId="17022"/>
    <cellStyle name="20% - Accent1 3 2 3 2 3 3" xfId="13135"/>
    <cellStyle name="20% - Accent1 3 2 3 2 4" xfId="9203"/>
    <cellStyle name="20% - Accent1 3 2 3 2 4 2" xfId="17019"/>
    <cellStyle name="20% - Accent1 3 2 3 2 5" xfId="13132"/>
    <cellStyle name="20% - Accent1 3 2 3 3" xfId="199"/>
    <cellStyle name="20% - Accent1 3 2 3 3 2" xfId="200"/>
    <cellStyle name="20% - Accent1 3 2 3 3 2 2" xfId="9208"/>
    <cellStyle name="20% - Accent1 3 2 3 3 2 2 2" xfId="17024"/>
    <cellStyle name="20% - Accent1 3 2 3 3 2 3" xfId="13137"/>
    <cellStyle name="20% - Accent1 3 2 3 3 3" xfId="9207"/>
    <cellStyle name="20% - Accent1 3 2 3 3 3 2" xfId="17023"/>
    <cellStyle name="20% - Accent1 3 2 3 3 4" xfId="13136"/>
    <cellStyle name="20% - Accent1 3 2 3 4" xfId="201"/>
    <cellStyle name="20% - Accent1 3 2 3 4 2" xfId="202"/>
    <cellStyle name="20% - Accent1 3 2 3 4 2 2" xfId="9210"/>
    <cellStyle name="20% - Accent1 3 2 3 4 2 2 2" xfId="17026"/>
    <cellStyle name="20% - Accent1 3 2 3 4 2 3" xfId="13139"/>
    <cellStyle name="20% - Accent1 3 2 3 4 3" xfId="9209"/>
    <cellStyle name="20% - Accent1 3 2 3 4 3 2" xfId="17025"/>
    <cellStyle name="20% - Accent1 3 2 3 4 4" xfId="13138"/>
    <cellStyle name="20% - Accent1 3 2 3 5" xfId="203"/>
    <cellStyle name="20% - Accent1 3 2 3 5 2" xfId="9211"/>
    <cellStyle name="20% - Accent1 3 2 3 5 2 2" xfId="17027"/>
    <cellStyle name="20% - Accent1 3 2 3 5 3" xfId="13140"/>
    <cellStyle name="20% - Accent1 3 2 3 6" xfId="9202"/>
    <cellStyle name="20% - Accent1 3 2 3 6 2" xfId="17018"/>
    <cellStyle name="20% - Accent1 3 2 3 7" xfId="13131"/>
    <cellStyle name="20% - Accent1 3 2 4" xfId="204"/>
    <cellStyle name="20% - Accent1 3 2 4 2" xfId="205"/>
    <cellStyle name="20% - Accent1 3 2 4 2 2" xfId="206"/>
    <cellStyle name="20% - Accent1 3 2 4 2 2 2" xfId="9214"/>
    <cellStyle name="20% - Accent1 3 2 4 2 2 2 2" xfId="17030"/>
    <cellStyle name="20% - Accent1 3 2 4 2 2 3" xfId="13143"/>
    <cellStyle name="20% - Accent1 3 2 4 2 3" xfId="9213"/>
    <cellStyle name="20% - Accent1 3 2 4 2 3 2" xfId="17029"/>
    <cellStyle name="20% - Accent1 3 2 4 2 4" xfId="13142"/>
    <cellStyle name="20% - Accent1 3 2 4 3" xfId="207"/>
    <cellStyle name="20% - Accent1 3 2 4 3 2" xfId="9215"/>
    <cellStyle name="20% - Accent1 3 2 4 3 2 2" xfId="17031"/>
    <cellStyle name="20% - Accent1 3 2 4 3 3" xfId="13144"/>
    <cellStyle name="20% - Accent1 3 2 4 4" xfId="9212"/>
    <cellStyle name="20% - Accent1 3 2 4 4 2" xfId="17028"/>
    <cellStyle name="20% - Accent1 3 2 4 5" xfId="13141"/>
    <cellStyle name="20% - Accent1 3 2 5" xfId="208"/>
    <cellStyle name="20% - Accent1 3 2 5 2" xfId="209"/>
    <cellStyle name="20% - Accent1 3 2 5 2 2" xfId="9217"/>
    <cellStyle name="20% - Accent1 3 2 5 2 2 2" xfId="17033"/>
    <cellStyle name="20% - Accent1 3 2 5 2 3" xfId="13146"/>
    <cellStyle name="20% - Accent1 3 2 5 3" xfId="9216"/>
    <cellStyle name="20% - Accent1 3 2 5 3 2" xfId="17032"/>
    <cellStyle name="20% - Accent1 3 2 5 4" xfId="13145"/>
    <cellStyle name="20% - Accent1 3 2 6" xfId="210"/>
    <cellStyle name="20% - Accent1 3 2 6 2" xfId="9218"/>
    <cellStyle name="20% - Accent1 3 2 6 2 2" xfId="17034"/>
    <cellStyle name="20% - Accent1 3 2 6 3" xfId="13147"/>
    <cellStyle name="20% - Accent1 3 2 7" xfId="9187"/>
    <cellStyle name="20% - Accent1 3 2 7 2" xfId="17003"/>
    <cellStyle name="20% - Accent1 3 2 8" xfId="13116"/>
    <cellStyle name="20% - Accent1 3 3" xfId="211"/>
    <cellStyle name="20% - Accent1 3 3 2" xfId="212"/>
    <cellStyle name="20% - Accent1 3 3 2 2" xfId="213"/>
    <cellStyle name="20% - Accent1 3 3 2 2 2" xfId="214"/>
    <cellStyle name="20% - Accent1 3 3 2 2 2 2" xfId="9222"/>
    <cellStyle name="20% - Accent1 3 3 2 2 2 2 2" xfId="17038"/>
    <cellStyle name="20% - Accent1 3 3 2 2 2 3" xfId="13151"/>
    <cellStyle name="20% - Accent1 3 3 2 2 3" xfId="9221"/>
    <cellStyle name="20% - Accent1 3 3 2 2 3 2" xfId="17037"/>
    <cellStyle name="20% - Accent1 3 3 2 2 4" xfId="13150"/>
    <cellStyle name="20% - Accent1 3 3 2 3" xfId="215"/>
    <cellStyle name="20% - Accent1 3 3 2 3 2" xfId="216"/>
    <cellStyle name="20% - Accent1 3 3 2 3 2 2" xfId="9224"/>
    <cellStyle name="20% - Accent1 3 3 2 3 2 2 2" xfId="17040"/>
    <cellStyle name="20% - Accent1 3 3 2 3 2 3" xfId="13153"/>
    <cellStyle name="20% - Accent1 3 3 2 3 3" xfId="9223"/>
    <cellStyle name="20% - Accent1 3 3 2 3 3 2" xfId="17039"/>
    <cellStyle name="20% - Accent1 3 3 2 3 4" xfId="13152"/>
    <cellStyle name="20% - Accent1 3 3 2 4" xfId="217"/>
    <cellStyle name="20% - Accent1 3 3 2 4 2" xfId="9225"/>
    <cellStyle name="20% - Accent1 3 3 2 4 2 2" xfId="17041"/>
    <cellStyle name="20% - Accent1 3 3 2 4 3" xfId="13154"/>
    <cellStyle name="20% - Accent1 3 3 2 5" xfId="9220"/>
    <cellStyle name="20% - Accent1 3 3 2 5 2" xfId="17036"/>
    <cellStyle name="20% - Accent1 3 3 2 6" xfId="13149"/>
    <cellStyle name="20% - Accent1 3 3 3" xfId="218"/>
    <cellStyle name="20% - Accent1 3 3 3 2" xfId="219"/>
    <cellStyle name="20% - Accent1 3 3 3 2 2" xfId="220"/>
    <cellStyle name="20% - Accent1 3 3 3 2 2 2" xfId="9228"/>
    <cellStyle name="20% - Accent1 3 3 3 2 2 2 2" xfId="17044"/>
    <cellStyle name="20% - Accent1 3 3 3 2 2 3" xfId="13157"/>
    <cellStyle name="20% - Accent1 3 3 3 2 3" xfId="9227"/>
    <cellStyle name="20% - Accent1 3 3 3 2 3 2" xfId="17043"/>
    <cellStyle name="20% - Accent1 3 3 3 2 4" xfId="13156"/>
    <cellStyle name="20% - Accent1 3 3 3 3" xfId="221"/>
    <cellStyle name="20% - Accent1 3 3 3 3 2" xfId="9229"/>
    <cellStyle name="20% - Accent1 3 3 3 3 2 2" xfId="17045"/>
    <cellStyle name="20% - Accent1 3 3 3 3 3" xfId="13158"/>
    <cellStyle name="20% - Accent1 3 3 3 4" xfId="9226"/>
    <cellStyle name="20% - Accent1 3 3 3 4 2" xfId="17042"/>
    <cellStyle name="20% - Accent1 3 3 3 5" xfId="13155"/>
    <cellStyle name="20% - Accent1 3 3 4" xfId="222"/>
    <cellStyle name="20% - Accent1 3 3 4 2" xfId="223"/>
    <cellStyle name="20% - Accent1 3 3 4 2 2" xfId="9231"/>
    <cellStyle name="20% - Accent1 3 3 4 2 2 2" xfId="17047"/>
    <cellStyle name="20% - Accent1 3 3 4 2 3" xfId="13160"/>
    <cellStyle name="20% - Accent1 3 3 4 3" xfId="9230"/>
    <cellStyle name="20% - Accent1 3 3 4 3 2" xfId="17046"/>
    <cellStyle name="20% - Accent1 3 3 4 4" xfId="13159"/>
    <cellStyle name="20% - Accent1 3 3 5" xfId="224"/>
    <cellStyle name="20% - Accent1 3 3 5 2" xfId="9232"/>
    <cellStyle name="20% - Accent1 3 3 5 2 2" xfId="17048"/>
    <cellStyle name="20% - Accent1 3 3 5 3" xfId="13161"/>
    <cellStyle name="20% - Accent1 3 3 6" xfId="9219"/>
    <cellStyle name="20% - Accent1 3 3 6 2" xfId="17035"/>
    <cellStyle name="20% - Accent1 3 3 7" xfId="13148"/>
    <cellStyle name="20% - Accent1 3 4" xfId="225"/>
    <cellStyle name="20% - Accent1 3 4 2" xfId="226"/>
    <cellStyle name="20% - Accent1 3 4 2 2" xfId="227"/>
    <cellStyle name="20% - Accent1 3 4 2 2 2" xfId="228"/>
    <cellStyle name="20% - Accent1 3 4 2 2 2 2" xfId="9236"/>
    <cellStyle name="20% - Accent1 3 4 2 2 2 2 2" xfId="17052"/>
    <cellStyle name="20% - Accent1 3 4 2 2 2 3" xfId="13165"/>
    <cellStyle name="20% - Accent1 3 4 2 2 3" xfId="9235"/>
    <cellStyle name="20% - Accent1 3 4 2 2 3 2" xfId="17051"/>
    <cellStyle name="20% - Accent1 3 4 2 2 4" xfId="13164"/>
    <cellStyle name="20% - Accent1 3 4 2 3" xfId="229"/>
    <cellStyle name="20% - Accent1 3 4 2 3 2" xfId="9237"/>
    <cellStyle name="20% - Accent1 3 4 2 3 2 2" xfId="17053"/>
    <cellStyle name="20% - Accent1 3 4 2 3 3" xfId="13166"/>
    <cellStyle name="20% - Accent1 3 4 2 4" xfId="9234"/>
    <cellStyle name="20% - Accent1 3 4 2 4 2" xfId="17050"/>
    <cellStyle name="20% - Accent1 3 4 2 5" xfId="13163"/>
    <cellStyle name="20% - Accent1 3 4 3" xfId="230"/>
    <cellStyle name="20% - Accent1 3 4 3 2" xfId="231"/>
    <cellStyle name="20% - Accent1 3 4 3 2 2" xfId="9239"/>
    <cellStyle name="20% - Accent1 3 4 3 2 2 2" xfId="17055"/>
    <cellStyle name="20% - Accent1 3 4 3 2 3" xfId="13168"/>
    <cellStyle name="20% - Accent1 3 4 3 3" xfId="9238"/>
    <cellStyle name="20% - Accent1 3 4 3 3 2" xfId="17054"/>
    <cellStyle name="20% - Accent1 3 4 3 4" xfId="13167"/>
    <cellStyle name="20% - Accent1 3 4 4" xfId="232"/>
    <cellStyle name="20% - Accent1 3 4 4 2" xfId="9240"/>
    <cellStyle name="20% - Accent1 3 4 4 2 2" xfId="17056"/>
    <cellStyle name="20% - Accent1 3 4 4 3" xfId="13169"/>
    <cellStyle name="20% - Accent1 3 4 5" xfId="9233"/>
    <cellStyle name="20% - Accent1 3 4 5 2" xfId="17049"/>
    <cellStyle name="20% - Accent1 3 4 6" xfId="13162"/>
    <cellStyle name="20% - Accent1 3 5" xfId="233"/>
    <cellStyle name="20% - Accent1 3 5 2" xfId="234"/>
    <cellStyle name="20% - Accent1 3 5 2 2" xfId="235"/>
    <cellStyle name="20% - Accent1 3 5 2 2 2" xfId="236"/>
    <cellStyle name="20% - Accent1 3 5 2 2 2 2" xfId="9244"/>
    <cellStyle name="20% - Accent1 3 5 2 2 2 2 2" xfId="17060"/>
    <cellStyle name="20% - Accent1 3 5 2 2 2 3" xfId="13173"/>
    <cellStyle name="20% - Accent1 3 5 2 2 3" xfId="9243"/>
    <cellStyle name="20% - Accent1 3 5 2 2 3 2" xfId="17059"/>
    <cellStyle name="20% - Accent1 3 5 2 2 4" xfId="13172"/>
    <cellStyle name="20% - Accent1 3 5 2 3" xfId="237"/>
    <cellStyle name="20% - Accent1 3 5 2 3 2" xfId="9245"/>
    <cellStyle name="20% - Accent1 3 5 2 3 2 2" xfId="17061"/>
    <cellStyle name="20% - Accent1 3 5 2 3 3" xfId="13174"/>
    <cellStyle name="20% - Accent1 3 5 2 4" xfId="9242"/>
    <cellStyle name="20% - Accent1 3 5 2 4 2" xfId="17058"/>
    <cellStyle name="20% - Accent1 3 5 2 5" xfId="13171"/>
    <cellStyle name="20% - Accent1 3 5 3" xfId="238"/>
    <cellStyle name="20% - Accent1 3 5 3 2" xfId="239"/>
    <cellStyle name="20% - Accent1 3 5 3 2 2" xfId="9247"/>
    <cellStyle name="20% - Accent1 3 5 3 2 2 2" xfId="17063"/>
    <cellStyle name="20% - Accent1 3 5 3 2 3" xfId="13176"/>
    <cellStyle name="20% - Accent1 3 5 3 3" xfId="9246"/>
    <cellStyle name="20% - Accent1 3 5 3 3 2" xfId="17062"/>
    <cellStyle name="20% - Accent1 3 5 3 4" xfId="13175"/>
    <cellStyle name="20% - Accent1 3 5 4" xfId="240"/>
    <cellStyle name="20% - Accent1 3 5 4 2" xfId="241"/>
    <cellStyle name="20% - Accent1 3 5 4 2 2" xfId="9249"/>
    <cellStyle name="20% - Accent1 3 5 4 2 2 2" xfId="17065"/>
    <cellStyle name="20% - Accent1 3 5 4 2 3" xfId="13178"/>
    <cellStyle name="20% - Accent1 3 5 4 3" xfId="9248"/>
    <cellStyle name="20% - Accent1 3 5 4 3 2" xfId="17064"/>
    <cellStyle name="20% - Accent1 3 5 4 4" xfId="13177"/>
    <cellStyle name="20% - Accent1 3 5 5" xfId="242"/>
    <cellStyle name="20% - Accent1 3 5 5 2" xfId="9250"/>
    <cellStyle name="20% - Accent1 3 5 5 2 2" xfId="17066"/>
    <cellStyle name="20% - Accent1 3 5 5 3" xfId="13179"/>
    <cellStyle name="20% - Accent1 3 5 6" xfId="9241"/>
    <cellStyle name="20% - Accent1 3 5 6 2" xfId="17057"/>
    <cellStyle name="20% - Accent1 3 5 7" xfId="13170"/>
    <cellStyle name="20% - Accent1 3 6" xfId="243"/>
    <cellStyle name="20% - Accent1 3 6 2" xfId="244"/>
    <cellStyle name="20% - Accent1 3 6 2 2" xfId="245"/>
    <cellStyle name="20% - Accent1 3 6 2 2 2" xfId="9253"/>
    <cellStyle name="20% - Accent1 3 6 2 2 2 2" xfId="17069"/>
    <cellStyle name="20% - Accent1 3 6 2 2 3" xfId="13182"/>
    <cellStyle name="20% - Accent1 3 6 2 3" xfId="9252"/>
    <cellStyle name="20% - Accent1 3 6 2 3 2" xfId="17068"/>
    <cellStyle name="20% - Accent1 3 6 2 4" xfId="13181"/>
    <cellStyle name="20% - Accent1 3 6 3" xfId="246"/>
    <cellStyle name="20% - Accent1 3 6 3 2" xfId="9254"/>
    <cellStyle name="20% - Accent1 3 6 3 2 2" xfId="17070"/>
    <cellStyle name="20% - Accent1 3 6 3 3" xfId="13183"/>
    <cellStyle name="20% - Accent1 3 6 4" xfId="9251"/>
    <cellStyle name="20% - Accent1 3 6 4 2" xfId="17067"/>
    <cellStyle name="20% - Accent1 3 6 5" xfId="13180"/>
    <cellStyle name="20% - Accent1 3 7" xfId="247"/>
    <cellStyle name="20% - Accent1 3 7 2" xfId="248"/>
    <cellStyle name="20% - Accent1 3 7 2 2" xfId="9256"/>
    <cellStyle name="20% - Accent1 3 7 2 2 2" xfId="17072"/>
    <cellStyle name="20% - Accent1 3 7 2 3" xfId="13185"/>
    <cellStyle name="20% - Accent1 3 7 3" xfId="9255"/>
    <cellStyle name="20% - Accent1 3 7 3 2" xfId="17071"/>
    <cellStyle name="20% - Accent1 3 7 4" xfId="13184"/>
    <cellStyle name="20% - Accent1 3 8" xfId="249"/>
    <cellStyle name="20% - Accent1 3 8 2" xfId="9257"/>
    <cellStyle name="20% - Accent1 3 8 2 2" xfId="17073"/>
    <cellStyle name="20% - Accent1 3 8 3" xfId="13186"/>
    <cellStyle name="20% - Accent1 3 9" xfId="250"/>
    <cellStyle name="20% - Accent1 3 9 2" xfId="9258"/>
    <cellStyle name="20% - Accent1 3 9 2 2" xfId="17074"/>
    <cellStyle name="20% - Accent1 3 9 3" xfId="13187"/>
    <cellStyle name="20% - Accent1 4" xfId="251"/>
    <cellStyle name="20% - Accent1 4 2" xfId="252"/>
    <cellStyle name="20% - Accent1 4 2 2" xfId="253"/>
    <cellStyle name="20% - Accent1 4 2 2 2" xfId="254"/>
    <cellStyle name="20% - Accent1 4 2 2 2 2" xfId="255"/>
    <cellStyle name="20% - Accent1 4 2 2 2 2 2" xfId="9263"/>
    <cellStyle name="20% - Accent1 4 2 2 2 2 2 2" xfId="17079"/>
    <cellStyle name="20% - Accent1 4 2 2 2 2 3" xfId="13192"/>
    <cellStyle name="20% - Accent1 4 2 2 2 3" xfId="9262"/>
    <cellStyle name="20% - Accent1 4 2 2 2 3 2" xfId="17078"/>
    <cellStyle name="20% - Accent1 4 2 2 2 4" xfId="13191"/>
    <cellStyle name="20% - Accent1 4 2 2 3" xfId="256"/>
    <cellStyle name="20% - Accent1 4 2 2 3 2" xfId="257"/>
    <cellStyle name="20% - Accent1 4 2 2 3 2 2" xfId="9265"/>
    <cellStyle name="20% - Accent1 4 2 2 3 2 2 2" xfId="17081"/>
    <cellStyle name="20% - Accent1 4 2 2 3 2 3" xfId="13194"/>
    <cellStyle name="20% - Accent1 4 2 2 3 3" xfId="9264"/>
    <cellStyle name="20% - Accent1 4 2 2 3 3 2" xfId="17080"/>
    <cellStyle name="20% - Accent1 4 2 2 3 4" xfId="13193"/>
    <cellStyle name="20% - Accent1 4 2 2 4" xfId="258"/>
    <cellStyle name="20% - Accent1 4 2 2 4 2" xfId="9266"/>
    <cellStyle name="20% - Accent1 4 2 2 4 2 2" xfId="17082"/>
    <cellStyle name="20% - Accent1 4 2 2 4 3" xfId="13195"/>
    <cellStyle name="20% - Accent1 4 2 2 5" xfId="9261"/>
    <cellStyle name="20% - Accent1 4 2 2 5 2" xfId="17077"/>
    <cellStyle name="20% - Accent1 4 2 2 6" xfId="13190"/>
    <cellStyle name="20% - Accent1 4 2 3" xfId="259"/>
    <cellStyle name="20% - Accent1 4 2 3 2" xfId="260"/>
    <cellStyle name="20% - Accent1 4 2 3 2 2" xfId="261"/>
    <cellStyle name="20% - Accent1 4 2 3 2 2 2" xfId="9269"/>
    <cellStyle name="20% - Accent1 4 2 3 2 2 2 2" xfId="17085"/>
    <cellStyle name="20% - Accent1 4 2 3 2 2 3" xfId="13198"/>
    <cellStyle name="20% - Accent1 4 2 3 2 3" xfId="9268"/>
    <cellStyle name="20% - Accent1 4 2 3 2 3 2" xfId="17084"/>
    <cellStyle name="20% - Accent1 4 2 3 2 4" xfId="13197"/>
    <cellStyle name="20% - Accent1 4 2 3 3" xfId="262"/>
    <cellStyle name="20% - Accent1 4 2 3 3 2" xfId="9270"/>
    <cellStyle name="20% - Accent1 4 2 3 3 2 2" xfId="17086"/>
    <cellStyle name="20% - Accent1 4 2 3 3 3" xfId="13199"/>
    <cellStyle name="20% - Accent1 4 2 3 4" xfId="9267"/>
    <cellStyle name="20% - Accent1 4 2 3 4 2" xfId="17083"/>
    <cellStyle name="20% - Accent1 4 2 3 5" xfId="13196"/>
    <cellStyle name="20% - Accent1 4 2 4" xfId="263"/>
    <cellStyle name="20% - Accent1 4 2 4 2" xfId="264"/>
    <cellStyle name="20% - Accent1 4 2 4 2 2" xfId="9272"/>
    <cellStyle name="20% - Accent1 4 2 4 2 2 2" xfId="17088"/>
    <cellStyle name="20% - Accent1 4 2 4 2 3" xfId="13201"/>
    <cellStyle name="20% - Accent1 4 2 4 3" xfId="9271"/>
    <cellStyle name="20% - Accent1 4 2 4 3 2" xfId="17087"/>
    <cellStyle name="20% - Accent1 4 2 4 4" xfId="13200"/>
    <cellStyle name="20% - Accent1 4 2 5" xfId="265"/>
    <cellStyle name="20% - Accent1 4 2 5 2" xfId="9273"/>
    <cellStyle name="20% - Accent1 4 2 5 2 2" xfId="17089"/>
    <cellStyle name="20% - Accent1 4 2 5 3" xfId="13202"/>
    <cellStyle name="20% - Accent1 4 2 6" xfId="9260"/>
    <cellStyle name="20% - Accent1 4 2 6 2" xfId="17076"/>
    <cellStyle name="20% - Accent1 4 2 7" xfId="13189"/>
    <cellStyle name="20% - Accent1 4 3" xfId="266"/>
    <cellStyle name="20% - Accent1 4 3 2" xfId="267"/>
    <cellStyle name="20% - Accent1 4 3 2 2" xfId="268"/>
    <cellStyle name="20% - Accent1 4 3 2 2 2" xfId="269"/>
    <cellStyle name="20% - Accent1 4 3 2 2 2 2" xfId="9277"/>
    <cellStyle name="20% - Accent1 4 3 2 2 2 2 2" xfId="17093"/>
    <cellStyle name="20% - Accent1 4 3 2 2 2 3" xfId="13206"/>
    <cellStyle name="20% - Accent1 4 3 2 2 3" xfId="9276"/>
    <cellStyle name="20% - Accent1 4 3 2 2 3 2" xfId="17092"/>
    <cellStyle name="20% - Accent1 4 3 2 2 4" xfId="13205"/>
    <cellStyle name="20% - Accent1 4 3 2 3" xfId="270"/>
    <cellStyle name="20% - Accent1 4 3 2 3 2" xfId="9278"/>
    <cellStyle name="20% - Accent1 4 3 2 3 2 2" xfId="17094"/>
    <cellStyle name="20% - Accent1 4 3 2 3 3" xfId="13207"/>
    <cellStyle name="20% - Accent1 4 3 2 4" xfId="9275"/>
    <cellStyle name="20% - Accent1 4 3 2 4 2" xfId="17091"/>
    <cellStyle name="20% - Accent1 4 3 2 5" xfId="13204"/>
    <cellStyle name="20% - Accent1 4 3 3" xfId="271"/>
    <cellStyle name="20% - Accent1 4 3 3 2" xfId="272"/>
    <cellStyle name="20% - Accent1 4 3 3 2 2" xfId="9280"/>
    <cellStyle name="20% - Accent1 4 3 3 2 2 2" xfId="17096"/>
    <cellStyle name="20% - Accent1 4 3 3 2 3" xfId="13209"/>
    <cellStyle name="20% - Accent1 4 3 3 3" xfId="9279"/>
    <cellStyle name="20% - Accent1 4 3 3 3 2" xfId="17095"/>
    <cellStyle name="20% - Accent1 4 3 3 4" xfId="13208"/>
    <cellStyle name="20% - Accent1 4 3 4" xfId="273"/>
    <cellStyle name="20% - Accent1 4 3 4 2" xfId="274"/>
    <cellStyle name="20% - Accent1 4 3 4 2 2" xfId="9282"/>
    <cellStyle name="20% - Accent1 4 3 4 2 2 2" xfId="17098"/>
    <cellStyle name="20% - Accent1 4 3 4 2 3" xfId="13211"/>
    <cellStyle name="20% - Accent1 4 3 4 3" xfId="9281"/>
    <cellStyle name="20% - Accent1 4 3 4 3 2" xfId="17097"/>
    <cellStyle name="20% - Accent1 4 3 4 4" xfId="13210"/>
    <cellStyle name="20% - Accent1 4 3 5" xfId="275"/>
    <cellStyle name="20% - Accent1 4 3 5 2" xfId="9283"/>
    <cellStyle name="20% - Accent1 4 3 5 2 2" xfId="17099"/>
    <cellStyle name="20% - Accent1 4 3 5 3" xfId="13212"/>
    <cellStyle name="20% - Accent1 4 3 6" xfId="9274"/>
    <cellStyle name="20% - Accent1 4 3 6 2" xfId="17090"/>
    <cellStyle name="20% - Accent1 4 3 7" xfId="13203"/>
    <cellStyle name="20% - Accent1 4 4" xfId="276"/>
    <cellStyle name="20% - Accent1 4 4 2" xfId="277"/>
    <cellStyle name="20% - Accent1 4 4 2 2" xfId="278"/>
    <cellStyle name="20% - Accent1 4 4 2 2 2" xfId="9286"/>
    <cellStyle name="20% - Accent1 4 4 2 2 2 2" xfId="17102"/>
    <cellStyle name="20% - Accent1 4 4 2 2 3" xfId="13215"/>
    <cellStyle name="20% - Accent1 4 4 2 3" xfId="9285"/>
    <cellStyle name="20% - Accent1 4 4 2 3 2" xfId="17101"/>
    <cellStyle name="20% - Accent1 4 4 2 4" xfId="13214"/>
    <cellStyle name="20% - Accent1 4 4 3" xfId="279"/>
    <cellStyle name="20% - Accent1 4 4 3 2" xfId="9287"/>
    <cellStyle name="20% - Accent1 4 4 3 2 2" xfId="17103"/>
    <cellStyle name="20% - Accent1 4 4 3 3" xfId="13216"/>
    <cellStyle name="20% - Accent1 4 4 4" xfId="9284"/>
    <cellStyle name="20% - Accent1 4 4 4 2" xfId="17100"/>
    <cellStyle name="20% - Accent1 4 4 5" xfId="13213"/>
    <cellStyle name="20% - Accent1 4 5" xfId="280"/>
    <cellStyle name="20% - Accent1 4 5 2" xfId="281"/>
    <cellStyle name="20% - Accent1 4 5 2 2" xfId="9289"/>
    <cellStyle name="20% - Accent1 4 5 2 2 2" xfId="17105"/>
    <cellStyle name="20% - Accent1 4 5 2 3" xfId="13218"/>
    <cellStyle name="20% - Accent1 4 5 3" xfId="9288"/>
    <cellStyle name="20% - Accent1 4 5 3 2" xfId="17104"/>
    <cellStyle name="20% - Accent1 4 5 4" xfId="13217"/>
    <cellStyle name="20% - Accent1 4 6" xfId="282"/>
    <cellStyle name="20% - Accent1 4 6 2" xfId="9290"/>
    <cellStyle name="20% - Accent1 4 6 2 2" xfId="17106"/>
    <cellStyle name="20% - Accent1 4 6 3" xfId="13219"/>
    <cellStyle name="20% - Accent1 4 7" xfId="9259"/>
    <cellStyle name="20% - Accent1 4 7 2" xfId="17075"/>
    <cellStyle name="20% - Accent1 4 8" xfId="13188"/>
    <cellStyle name="20% - Accent1 5" xfId="283"/>
    <cellStyle name="20% - Accent1 5 2" xfId="284"/>
    <cellStyle name="20% - Accent1 5 2 2" xfId="285"/>
    <cellStyle name="20% - Accent1 5 2 2 2" xfId="286"/>
    <cellStyle name="20% - Accent1 5 2 2 2 2" xfId="9294"/>
    <cellStyle name="20% - Accent1 5 2 2 2 2 2" xfId="17110"/>
    <cellStyle name="20% - Accent1 5 2 2 2 3" xfId="13223"/>
    <cellStyle name="20% - Accent1 5 2 2 3" xfId="9293"/>
    <cellStyle name="20% - Accent1 5 2 2 3 2" xfId="17109"/>
    <cellStyle name="20% - Accent1 5 2 2 4" xfId="13222"/>
    <cellStyle name="20% - Accent1 5 2 3" xfId="287"/>
    <cellStyle name="20% - Accent1 5 2 3 2" xfId="288"/>
    <cellStyle name="20% - Accent1 5 2 3 2 2" xfId="9296"/>
    <cellStyle name="20% - Accent1 5 2 3 2 2 2" xfId="17112"/>
    <cellStyle name="20% - Accent1 5 2 3 2 3" xfId="13225"/>
    <cellStyle name="20% - Accent1 5 2 3 3" xfId="9295"/>
    <cellStyle name="20% - Accent1 5 2 3 3 2" xfId="17111"/>
    <cellStyle name="20% - Accent1 5 2 3 4" xfId="13224"/>
    <cellStyle name="20% - Accent1 5 2 4" xfId="289"/>
    <cellStyle name="20% - Accent1 5 2 4 2" xfId="9297"/>
    <cellStyle name="20% - Accent1 5 2 4 2 2" xfId="17113"/>
    <cellStyle name="20% - Accent1 5 2 4 3" xfId="13226"/>
    <cellStyle name="20% - Accent1 5 2 5" xfId="9292"/>
    <cellStyle name="20% - Accent1 5 2 5 2" xfId="17108"/>
    <cellStyle name="20% - Accent1 5 2 6" xfId="13221"/>
    <cellStyle name="20% - Accent1 5 3" xfId="290"/>
    <cellStyle name="20% - Accent1 5 3 2" xfId="291"/>
    <cellStyle name="20% - Accent1 5 3 2 2" xfId="292"/>
    <cellStyle name="20% - Accent1 5 3 2 2 2" xfId="9300"/>
    <cellStyle name="20% - Accent1 5 3 2 2 2 2" xfId="17116"/>
    <cellStyle name="20% - Accent1 5 3 2 2 3" xfId="13229"/>
    <cellStyle name="20% - Accent1 5 3 2 3" xfId="9299"/>
    <cellStyle name="20% - Accent1 5 3 2 3 2" xfId="17115"/>
    <cellStyle name="20% - Accent1 5 3 2 4" xfId="13228"/>
    <cellStyle name="20% - Accent1 5 3 3" xfId="293"/>
    <cellStyle name="20% - Accent1 5 3 3 2" xfId="9301"/>
    <cellStyle name="20% - Accent1 5 3 3 2 2" xfId="17117"/>
    <cellStyle name="20% - Accent1 5 3 3 3" xfId="13230"/>
    <cellStyle name="20% - Accent1 5 3 4" xfId="9298"/>
    <cellStyle name="20% - Accent1 5 3 4 2" xfId="17114"/>
    <cellStyle name="20% - Accent1 5 3 5" xfId="13227"/>
    <cellStyle name="20% - Accent1 5 4" xfId="294"/>
    <cellStyle name="20% - Accent1 5 4 2" xfId="295"/>
    <cellStyle name="20% - Accent1 5 4 2 2" xfId="9303"/>
    <cellStyle name="20% - Accent1 5 4 2 2 2" xfId="17119"/>
    <cellStyle name="20% - Accent1 5 4 2 3" xfId="13232"/>
    <cellStyle name="20% - Accent1 5 4 3" xfId="9302"/>
    <cellStyle name="20% - Accent1 5 4 3 2" xfId="17118"/>
    <cellStyle name="20% - Accent1 5 4 4" xfId="13231"/>
    <cellStyle name="20% - Accent1 5 5" xfId="296"/>
    <cellStyle name="20% - Accent1 5 5 2" xfId="9304"/>
    <cellStyle name="20% - Accent1 5 5 2 2" xfId="17120"/>
    <cellStyle name="20% - Accent1 5 5 3" xfId="13233"/>
    <cellStyle name="20% - Accent1 5 6" xfId="9291"/>
    <cellStyle name="20% - Accent1 5 6 2" xfId="17107"/>
    <cellStyle name="20% - Accent1 5 7" xfId="13220"/>
    <cellStyle name="20% - Accent1 6" xfId="297"/>
    <cellStyle name="20% - Accent1 6 2" xfId="298"/>
    <cellStyle name="20% - Accent1 6 2 2" xfId="299"/>
    <cellStyle name="20% - Accent1 6 2 2 2" xfId="300"/>
    <cellStyle name="20% - Accent1 6 2 2 2 2" xfId="9308"/>
    <cellStyle name="20% - Accent1 6 2 2 2 2 2" xfId="17124"/>
    <cellStyle name="20% - Accent1 6 2 2 2 3" xfId="13237"/>
    <cellStyle name="20% - Accent1 6 2 2 3" xfId="9307"/>
    <cellStyle name="20% - Accent1 6 2 2 3 2" xfId="17123"/>
    <cellStyle name="20% - Accent1 6 2 2 4" xfId="13236"/>
    <cellStyle name="20% - Accent1 6 2 3" xfId="301"/>
    <cellStyle name="20% - Accent1 6 2 3 2" xfId="9309"/>
    <cellStyle name="20% - Accent1 6 2 3 2 2" xfId="17125"/>
    <cellStyle name="20% - Accent1 6 2 3 3" xfId="13238"/>
    <cellStyle name="20% - Accent1 6 2 4" xfId="9306"/>
    <cellStyle name="20% - Accent1 6 2 4 2" xfId="17122"/>
    <cellStyle name="20% - Accent1 6 2 5" xfId="13235"/>
    <cellStyle name="20% - Accent1 6 3" xfId="302"/>
    <cellStyle name="20% - Accent1 6 3 2" xfId="303"/>
    <cellStyle name="20% - Accent1 6 3 2 2" xfId="9311"/>
    <cellStyle name="20% - Accent1 6 3 2 2 2" xfId="17127"/>
    <cellStyle name="20% - Accent1 6 3 2 3" xfId="13240"/>
    <cellStyle name="20% - Accent1 6 3 3" xfId="9310"/>
    <cellStyle name="20% - Accent1 6 3 3 2" xfId="17126"/>
    <cellStyle name="20% - Accent1 6 3 4" xfId="13239"/>
    <cellStyle name="20% - Accent1 6 4" xfId="304"/>
    <cellStyle name="20% - Accent1 6 4 2" xfId="9312"/>
    <cellStyle name="20% - Accent1 6 4 2 2" xfId="17128"/>
    <cellStyle name="20% - Accent1 6 4 3" xfId="13241"/>
    <cellStyle name="20% - Accent1 6 5" xfId="9305"/>
    <cellStyle name="20% - Accent1 6 5 2" xfId="17121"/>
    <cellStyle name="20% - Accent1 6 6" xfId="13234"/>
    <cellStyle name="20% - Accent1 7" xfId="305"/>
    <cellStyle name="20% - Accent1 7 2" xfId="306"/>
    <cellStyle name="20% - Accent1 7 2 2" xfId="307"/>
    <cellStyle name="20% - Accent1 7 2 2 2" xfId="308"/>
    <cellStyle name="20% - Accent1 7 2 2 2 2" xfId="9316"/>
    <cellStyle name="20% - Accent1 7 2 2 2 2 2" xfId="17132"/>
    <cellStyle name="20% - Accent1 7 2 2 2 3" xfId="13245"/>
    <cellStyle name="20% - Accent1 7 2 2 3" xfId="9315"/>
    <cellStyle name="20% - Accent1 7 2 2 3 2" xfId="17131"/>
    <cellStyle name="20% - Accent1 7 2 2 4" xfId="13244"/>
    <cellStyle name="20% - Accent1 7 2 3" xfId="309"/>
    <cellStyle name="20% - Accent1 7 2 3 2" xfId="9317"/>
    <cellStyle name="20% - Accent1 7 2 3 2 2" xfId="17133"/>
    <cellStyle name="20% - Accent1 7 2 3 3" xfId="13246"/>
    <cellStyle name="20% - Accent1 7 2 4" xfId="9314"/>
    <cellStyle name="20% - Accent1 7 2 4 2" xfId="17130"/>
    <cellStyle name="20% - Accent1 7 2 5" xfId="13243"/>
    <cellStyle name="20% - Accent1 7 3" xfId="310"/>
    <cellStyle name="20% - Accent1 7 3 2" xfId="311"/>
    <cellStyle name="20% - Accent1 7 3 2 2" xfId="9319"/>
    <cellStyle name="20% - Accent1 7 3 2 2 2" xfId="17135"/>
    <cellStyle name="20% - Accent1 7 3 2 3" xfId="13248"/>
    <cellStyle name="20% - Accent1 7 3 3" xfId="9318"/>
    <cellStyle name="20% - Accent1 7 3 3 2" xfId="17134"/>
    <cellStyle name="20% - Accent1 7 3 4" xfId="13247"/>
    <cellStyle name="20% - Accent1 7 4" xfId="312"/>
    <cellStyle name="20% - Accent1 7 4 2" xfId="9320"/>
    <cellStyle name="20% - Accent1 7 4 2 2" xfId="17136"/>
    <cellStyle name="20% - Accent1 7 4 3" xfId="13249"/>
    <cellStyle name="20% - Accent1 7 5" xfId="9313"/>
    <cellStyle name="20% - Accent1 7 5 2" xfId="17129"/>
    <cellStyle name="20% - Accent1 7 6" xfId="13242"/>
    <cellStyle name="20% - Accent1 8" xfId="313"/>
    <cellStyle name="20% - Accent1 8 2" xfId="314"/>
    <cellStyle name="20% - Accent1 8 2 2" xfId="315"/>
    <cellStyle name="20% - Accent1 8 2 2 2" xfId="9323"/>
    <cellStyle name="20% - Accent1 8 2 2 2 2" xfId="17139"/>
    <cellStyle name="20% - Accent1 8 2 2 3" xfId="13252"/>
    <cellStyle name="20% - Accent1 8 2 3" xfId="9322"/>
    <cellStyle name="20% - Accent1 8 2 3 2" xfId="17138"/>
    <cellStyle name="20% - Accent1 8 2 4" xfId="13251"/>
    <cellStyle name="20% - Accent1 8 3" xfId="316"/>
    <cellStyle name="20% - Accent1 8 3 2" xfId="9324"/>
    <cellStyle name="20% - Accent1 8 3 2 2" xfId="17140"/>
    <cellStyle name="20% - Accent1 8 3 3" xfId="13253"/>
    <cellStyle name="20% - Accent1 8 4" xfId="9321"/>
    <cellStyle name="20% - Accent1 8 4 2" xfId="17137"/>
    <cellStyle name="20% - Accent1 8 5" xfId="13250"/>
    <cellStyle name="20% - Accent1 9" xfId="317"/>
    <cellStyle name="20% - Accent1 9 2" xfId="318"/>
    <cellStyle name="20% - Accent1 9 2 2" xfId="9326"/>
    <cellStyle name="20% - Accent1 9 2 2 2" xfId="17142"/>
    <cellStyle name="20% - Accent1 9 2 3" xfId="13255"/>
    <cellStyle name="20% - Accent1 9 3" xfId="9325"/>
    <cellStyle name="20% - Accent1 9 3 2" xfId="17141"/>
    <cellStyle name="20% - Accent1 9 4" xfId="13254"/>
    <cellStyle name="20% - Accent2 10" xfId="319"/>
    <cellStyle name="20% - Accent2 10 2" xfId="320"/>
    <cellStyle name="20% - Accent2 10 2 2" xfId="9328"/>
    <cellStyle name="20% - Accent2 10 2 2 2" xfId="17144"/>
    <cellStyle name="20% - Accent2 10 2 3" xfId="13257"/>
    <cellStyle name="20% - Accent2 10 3" xfId="9327"/>
    <cellStyle name="20% - Accent2 10 3 2" xfId="17143"/>
    <cellStyle name="20% - Accent2 10 4" xfId="13256"/>
    <cellStyle name="20% - Accent2 11" xfId="321"/>
    <cellStyle name="20% - Accent2 11 2" xfId="9329"/>
    <cellStyle name="20% - Accent2 11 2 2" xfId="17145"/>
    <cellStyle name="20% - Accent2 11 3" xfId="13258"/>
    <cellStyle name="20% - Accent2 12" xfId="322"/>
    <cellStyle name="20% - Accent2 12 2" xfId="9330"/>
    <cellStyle name="20% - Accent2 12 2 2" xfId="17146"/>
    <cellStyle name="20% - Accent2 12 3" xfId="13259"/>
    <cellStyle name="20% - Accent2 2" xfId="323"/>
    <cellStyle name="20% - Accent2 2 10" xfId="324"/>
    <cellStyle name="20% - Accent2 2 10 2" xfId="9332"/>
    <cellStyle name="20% - Accent2 2 10 2 2" xfId="17148"/>
    <cellStyle name="20% - Accent2 2 10 3" xfId="13261"/>
    <cellStyle name="20% - Accent2 2 11" xfId="9331"/>
    <cellStyle name="20% - Accent2 2 11 2" xfId="17147"/>
    <cellStyle name="20% - Accent2 2 12" xfId="12939"/>
    <cellStyle name="20% - Accent2 2 13" xfId="13260"/>
    <cellStyle name="20% - Accent2 2 2" xfId="325"/>
    <cellStyle name="20% - Accent2 2 2 10" xfId="13262"/>
    <cellStyle name="20% - Accent2 2 2 2" xfId="326"/>
    <cellStyle name="20% - Accent2 2 2 2 2" xfId="327"/>
    <cellStyle name="20% - Accent2 2 2 2 2 2" xfId="328"/>
    <cellStyle name="20% - Accent2 2 2 2 2 2 2" xfId="329"/>
    <cellStyle name="20% - Accent2 2 2 2 2 2 2 2" xfId="330"/>
    <cellStyle name="20% - Accent2 2 2 2 2 2 2 2 2" xfId="9338"/>
    <cellStyle name="20% - Accent2 2 2 2 2 2 2 2 2 2" xfId="17154"/>
    <cellStyle name="20% - Accent2 2 2 2 2 2 2 2 3" xfId="13267"/>
    <cellStyle name="20% - Accent2 2 2 2 2 2 2 3" xfId="9337"/>
    <cellStyle name="20% - Accent2 2 2 2 2 2 2 3 2" xfId="17153"/>
    <cellStyle name="20% - Accent2 2 2 2 2 2 2 4" xfId="13266"/>
    <cellStyle name="20% - Accent2 2 2 2 2 2 3" xfId="331"/>
    <cellStyle name="20% - Accent2 2 2 2 2 2 3 2" xfId="332"/>
    <cellStyle name="20% - Accent2 2 2 2 2 2 3 2 2" xfId="9340"/>
    <cellStyle name="20% - Accent2 2 2 2 2 2 3 2 2 2" xfId="17156"/>
    <cellStyle name="20% - Accent2 2 2 2 2 2 3 2 3" xfId="13269"/>
    <cellStyle name="20% - Accent2 2 2 2 2 2 3 3" xfId="9339"/>
    <cellStyle name="20% - Accent2 2 2 2 2 2 3 3 2" xfId="17155"/>
    <cellStyle name="20% - Accent2 2 2 2 2 2 3 4" xfId="13268"/>
    <cellStyle name="20% - Accent2 2 2 2 2 2 4" xfId="333"/>
    <cellStyle name="20% - Accent2 2 2 2 2 2 4 2" xfId="9341"/>
    <cellStyle name="20% - Accent2 2 2 2 2 2 4 2 2" xfId="17157"/>
    <cellStyle name="20% - Accent2 2 2 2 2 2 4 3" xfId="13270"/>
    <cellStyle name="20% - Accent2 2 2 2 2 2 5" xfId="9336"/>
    <cellStyle name="20% - Accent2 2 2 2 2 2 5 2" xfId="17152"/>
    <cellStyle name="20% - Accent2 2 2 2 2 2 6" xfId="13265"/>
    <cellStyle name="20% - Accent2 2 2 2 2 3" xfId="334"/>
    <cellStyle name="20% - Accent2 2 2 2 2 3 2" xfId="335"/>
    <cellStyle name="20% - Accent2 2 2 2 2 3 2 2" xfId="336"/>
    <cellStyle name="20% - Accent2 2 2 2 2 3 2 2 2" xfId="9344"/>
    <cellStyle name="20% - Accent2 2 2 2 2 3 2 2 2 2" xfId="17160"/>
    <cellStyle name="20% - Accent2 2 2 2 2 3 2 2 3" xfId="13273"/>
    <cellStyle name="20% - Accent2 2 2 2 2 3 2 3" xfId="9343"/>
    <cellStyle name="20% - Accent2 2 2 2 2 3 2 3 2" xfId="17159"/>
    <cellStyle name="20% - Accent2 2 2 2 2 3 2 4" xfId="13272"/>
    <cellStyle name="20% - Accent2 2 2 2 2 3 3" xfId="337"/>
    <cellStyle name="20% - Accent2 2 2 2 2 3 3 2" xfId="9345"/>
    <cellStyle name="20% - Accent2 2 2 2 2 3 3 2 2" xfId="17161"/>
    <cellStyle name="20% - Accent2 2 2 2 2 3 3 3" xfId="13274"/>
    <cellStyle name="20% - Accent2 2 2 2 2 3 4" xfId="9342"/>
    <cellStyle name="20% - Accent2 2 2 2 2 3 4 2" xfId="17158"/>
    <cellStyle name="20% - Accent2 2 2 2 2 3 5" xfId="13271"/>
    <cellStyle name="20% - Accent2 2 2 2 2 4" xfId="338"/>
    <cellStyle name="20% - Accent2 2 2 2 2 4 2" xfId="339"/>
    <cellStyle name="20% - Accent2 2 2 2 2 4 2 2" xfId="9347"/>
    <cellStyle name="20% - Accent2 2 2 2 2 4 2 2 2" xfId="17163"/>
    <cellStyle name="20% - Accent2 2 2 2 2 4 2 3" xfId="13276"/>
    <cellStyle name="20% - Accent2 2 2 2 2 4 3" xfId="9346"/>
    <cellStyle name="20% - Accent2 2 2 2 2 4 3 2" xfId="17162"/>
    <cellStyle name="20% - Accent2 2 2 2 2 4 4" xfId="13275"/>
    <cellStyle name="20% - Accent2 2 2 2 2 5" xfId="340"/>
    <cellStyle name="20% - Accent2 2 2 2 2 5 2" xfId="9348"/>
    <cellStyle name="20% - Accent2 2 2 2 2 5 2 2" xfId="17164"/>
    <cellStyle name="20% - Accent2 2 2 2 2 5 3" xfId="13277"/>
    <cellStyle name="20% - Accent2 2 2 2 2 6" xfId="9335"/>
    <cellStyle name="20% - Accent2 2 2 2 2 6 2" xfId="17151"/>
    <cellStyle name="20% - Accent2 2 2 2 2 7" xfId="13264"/>
    <cellStyle name="20% - Accent2 2 2 2 3" xfId="341"/>
    <cellStyle name="20% - Accent2 2 2 2 3 2" xfId="342"/>
    <cellStyle name="20% - Accent2 2 2 2 3 2 2" xfId="343"/>
    <cellStyle name="20% - Accent2 2 2 2 3 2 2 2" xfId="344"/>
    <cellStyle name="20% - Accent2 2 2 2 3 2 2 2 2" xfId="9352"/>
    <cellStyle name="20% - Accent2 2 2 2 3 2 2 2 2 2" xfId="17168"/>
    <cellStyle name="20% - Accent2 2 2 2 3 2 2 2 3" xfId="13281"/>
    <cellStyle name="20% - Accent2 2 2 2 3 2 2 3" xfId="9351"/>
    <cellStyle name="20% - Accent2 2 2 2 3 2 2 3 2" xfId="17167"/>
    <cellStyle name="20% - Accent2 2 2 2 3 2 2 4" xfId="13280"/>
    <cellStyle name="20% - Accent2 2 2 2 3 2 3" xfId="345"/>
    <cellStyle name="20% - Accent2 2 2 2 3 2 3 2" xfId="9353"/>
    <cellStyle name="20% - Accent2 2 2 2 3 2 3 2 2" xfId="17169"/>
    <cellStyle name="20% - Accent2 2 2 2 3 2 3 3" xfId="13282"/>
    <cellStyle name="20% - Accent2 2 2 2 3 2 4" xfId="9350"/>
    <cellStyle name="20% - Accent2 2 2 2 3 2 4 2" xfId="17166"/>
    <cellStyle name="20% - Accent2 2 2 2 3 2 5" xfId="13279"/>
    <cellStyle name="20% - Accent2 2 2 2 3 3" xfId="346"/>
    <cellStyle name="20% - Accent2 2 2 2 3 3 2" xfId="347"/>
    <cellStyle name="20% - Accent2 2 2 2 3 3 2 2" xfId="9355"/>
    <cellStyle name="20% - Accent2 2 2 2 3 3 2 2 2" xfId="17171"/>
    <cellStyle name="20% - Accent2 2 2 2 3 3 2 3" xfId="13284"/>
    <cellStyle name="20% - Accent2 2 2 2 3 3 3" xfId="9354"/>
    <cellStyle name="20% - Accent2 2 2 2 3 3 3 2" xfId="17170"/>
    <cellStyle name="20% - Accent2 2 2 2 3 3 4" xfId="13283"/>
    <cellStyle name="20% - Accent2 2 2 2 3 4" xfId="348"/>
    <cellStyle name="20% - Accent2 2 2 2 3 4 2" xfId="349"/>
    <cellStyle name="20% - Accent2 2 2 2 3 4 2 2" xfId="9357"/>
    <cellStyle name="20% - Accent2 2 2 2 3 4 2 2 2" xfId="17173"/>
    <cellStyle name="20% - Accent2 2 2 2 3 4 2 3" xfId="13286"/>
    <cellStyle name="20% - Accent2 2 2 2 3 4 3" xfId="9356"/>
    <cellStyle name="20% - Accent2 2 2 2 3 4 3 2" xfId="17172"/>
    <cellStyle name="20% - Accent2 2 2 2 3 4 4" xfId="13285"/>
    <cellStyle name="20% - Accent2 2 2 2 3 5" xfId="350"/>
    <cellStyle name="20% - Accent2 2 2 2 3 5 2" xfId="9358"/>
    <cellStyle name="20% - Accent2 2 2 2 3 5 2 2" xfId="17174"/>
    <cellStyle name="20% - Accent2 2 2 2 3 5 3" xfId="13287"/>
    <cellStyle name="20% - Accent2 2 2 2 3 6" xfId="9349"/>
    <cellStyle name="20% - Accent2 2 2 2 3 6 2" xfId="17165"/>
    <cellStyle name="20% - Accent2 2 2 2 3 7" xfId="13278"/>
    <cellStyle name="20% - Accent2 2 2 2 4" xfId="351"/>
    <cellStyle name="20% - Accent2 2 2 2 4 2" xfId="352"/>
    <cellStyle name="20% - Accent2 2 2 2 4 2 2" xfId="353"/>
    <cellStyle name="20% - Accent2 2 2 2 4 2 2 2" xfId="9361"/>
    <cellStyle name="20% - Accent2 2 2 2 4 2 2 2 2" xfId="17177"/>
    <cellStyle name="20% - Accent2 2 2 2 4 2 2 3" xfId="13290"/>
    <cellStyle name="20% - Accent2 2 2 2 4 2 3" xfId="9360"/>
    <cellStyle name="20% - Accent2 2 2 2 4 2 3 2" xfId="17176"/>
    <cellStyle name="20% - Accent2 2 2 2 4 2 4" xfId="13289"/>
    <cellStyle name="20% - Accent2 2 2 2 4 3" xfId="354"/>
    <cellStyle name="20% - Accent2 2 2 2 4 3 2" xfId="9362"/>
    <cellStyle name="20% - Accent2 2 2 2 4 3 2 2" xfId="17178"/>
    <cellStyle name="20% - Accent2 2 2 2 4 3 3" xfId="13291"/>
    <cellStyle name="20% - Accent2 2 2 2 4 4" xfId="9359"/>
    <cellStyle name="20% - Accent2 2 2 2 4 4 2" xfId="17175"/>
    <cellStyle name="20% - Accent2 2 2 2 4 5" xfId="13288"/>
    <cellStyle name="20% - Accent2 2 2 2 5" xfId="355"/>
    <cellStyle name="20% - Accent2 2 2 2 5 2" xfId="356"/>
    <cellStyle name="20% - Accent2 2 2 2 5 2 2" xfId="9364"/>
    <cellStyle name="20% - Accent2 2 2 2 5 2 2 2" xfId="17180"/>
    <cellStyle name="20% - Accent2 2 2 2 5 2 3" xfId="13293"/>
    <cellStyle name="20% - Accent2 2 2 2 5 3" xfId="9363"/>
    <cellStyle name="20% - Accent2 2 2 2 5 3 2" xfId="17179"/>
    <cellStyle name="20% - Accent2 2 2 2 5 4" xfId="13292"/>
    <cellStyle name="20% - Accent2 2 2 2 6" xfId="357"/>
    <cellStyle name="20% - Accent2 2 2 2 6 2" xfId="9365"/>
    <cellStyle name="20% - Accent2 2 2 2 6 2 2" xfId="17181"/>
    <cellStyle name="20% - Accent2 2 2 2 6 3" xfId="13294"/>
    <cellStyle name="20% - Accent2 2 2 2 7" xfId="9334"/>
    <cellStyle name="20% - Accent2 2 2 2 7 2" xfId="17150"/>
    <cellStyle name="20% - Accent2 2 2 2 8" xfId="13263"/>
    <cellStyle name="20% - Accent2 2 2 3" xfId="358"/>
    <cellStyle name="20% - Accent2 2 2 3 2" xfId="359"/>
    <cellStyle name="20% - Accent2 2 2 3 2 2" xfId="360"/>
    <cellStyle name="20% - Accent2 2 2 3 2 2 2" xfId="361"/>
    <cellStyle name="20% - Accent2 2 2 3 2 2 2 2" xfId="9369"/>
    <cellStyle name="20% - Accent2 2 2 3 2 2 2 2 2" xfId="17185"/>
    <cellStyle name="20% - Accent2 2 2 3 2 2 2 3" xfId="13298"/>
    <cellStyle name="20% - Accent2 2 2 3 2 2 3" xfId="9368"/>
    <cellStyle name="20% - Accent2 2 2 3 2 2 3 2" xfId="17184"/>
    <cellStyle name="20% - Accent2 2 2 3 2 2 4" xfId="13297"/>
    <cellStyle name="20% - Accent2 2 2 3 2 3" xfId="362"/>
    <cellStyle name="20% - Accent2 2 2 3 2 3 2" xfId="363"/>
    <cellStyle name="20% - Accent2 2 2 3 2 3 2 2" xfId="9371"/>
    <cellStyle name="20% - Accent2 2 2 3 2 3 2 2 2" xfId="17187"/>
    <cellStyle name="20% - Accent2 2 2 3 2 3 2 3" xfId="13300"/>
    <cellStyle name="20% - Accent2 2 2 3 2 3 3" xfId="9370"/>
    <cellStyle name="20% - Accent2 2 2 3 2 3 3 2" xfId="17186"/>
    <cellStyle name="20% - Accent2 2 2 3 2 3 4" xfId="13299"/>
    <cellStyle name="20% - Accent2 2 2 3 2 4" xfId="364"/>
    <cellStyle name="20% - Accent2 2 2 3 2 4 2" xfId="9372"/>
    <cellStyle name="20% - Accent2 2 2 3 2 4 2 2" xfId="17188"/>
    <cellStyle name="20% - Accent2 2 2 3 2 4 3" xfId="13301"/>
    <cellStyle name="20% - Accent2 2 2 3 2 5" xfId="9367"/>
    <cellStyle name="20% - Accent2 2 2 3 2 5 2" xfId="17183"/>
    <cellStyle name="20% - Accent2 2 2 3 2 6" xfId="13296"/>
    <cellStyle name="20% - Accent2 2 2 3 3" xfId="365"/>
    <cellStyle name="20% - Accent2 2 2 3 3 2" xfId="366"/>
    <cellStyle name="20% - Accent2 2 2 3 3 2 2" xfId="367"/>
    <cellStyle name="20% - Accent2 2 2 3 3 2 2 2" xfId="9375"/>
    <cellStyle name="20% - Accent2 2 2 3 3 2 2 2 2" xfId="17191"/>
    <cellStyle name="20% - Accent2 2 2 3 3 2 2 3" xfId="13304"/>
    <cellStyle name="20% - Accent2 2 2 3 3 2 3" xfId="9374"/>
    <cellStyle name="20% - Accent2 2 2 3 3 2 3 2" xfId="17190"/>
    <cellStyle name="20% - Accent2 2 2 3 3 2 4" xfId="13303"/>
    <cellStyle name="20% - Accent2 2 2 3 3 3" xfId="368"/>
    <cellStyle name="20% - Accent2 2 2 3 3 3 2" xfId="9376"/>
    <cellStyle name="20% - Accent2 2 2 3 3 3 2 2" xfId="17192"/>
    <cellStyle name="20% - Accent2 2 2 3 3 3 3" xfId="13305"/>
    <cellStyle name="20% - Accent2 2 2 3 3 4" xfId="9373"/>
    <cellStyle name="20% - Accent2 2 2 3 3 4 2" xfId="17189"/>
    <cellStyle name="20% - Accent2 2 2 3 3 5" xfId="13302"/>
    <cellStyle name="20% - Accent2 2 2 3 4" xfId="369"/>
    <cellStyle name="20% - Accent2 2 2 3 4 2" xfId="370"/>
    <cellStyle name="20% - Accent2 2 2 3 4 2 2" xfId="9378"/>
    <cellStyle name="20% - Accent2 2 2 3 4 2 2 2" xfId="17194"/>
    <cellStyle name="20% - Accent2 2 2 3 4 2 3" xfId="13307"/>
    <cellStyle name="20% - Accent2 2 2 3 4 3" xfId="9377"/>
    <cellStyle name="20% - Accent2 2 2 3 4 3 2" xfId="17193"/>
    <cellStyle name="20% - Accent2 2 2 3 4 4" xfId="13306"/>
    <cellStyle name="20% - Accent2 2 2 3 5" xfId="371"/>
    <cellStyle name="20% - Accent2 2 2 3 5 2" xfId="9379"/>
    <cellStyle name="20% - Accent2 2 2 3 5 2 2" xfId="17195"/>
    <cellStyle name="20% - Accent2 2 2 3 5 3" xfId="13308"/>
    <cellStyle name="20% - Accent2 2 2 3 6" xfId="9366"/>
    <cellStyle name="20% - Accent2 2 2 3 6 2" xfId="17182"/>
    <cellStyle name="20% - Accent2 2 2 3 7" xfId="13295"/>
    <cellStyle name="20% - Accent2 2 2 4" xfId="372"/>
    <cellStyle name="20% - Accent2 2 2 4 2" xfId="373"/>
    <cellStyle name="20% - Accent2 2 2 4 2 2" xfId="374"/>
    <cellStyle name="20% - Accent2 2 2 4 2 2 2" xfId="375"/>
    <cellStyle name="20% - Accent2 2 2 4 2 2 2 2" xfId="9383"/>
    <cellStyle name="20% - Accent2 2 2 4 2 2 2 2 2" xfId="17199"/>
    <cellStyle name="20% - Accent2 2 2 4 2 2 2 3" xfId="13312"/>
    <cellStyle name="20% - Accent2 2 2 4 2 2 3" xfId="9382"/>
    <cellStyle name="20% - Accent2 2 2 4 2 2 3 2" xfId="17198"/>
    <cellStyle name="20% - Accent2 2 2 4 2 2 4" xfId="13311"/>
    <cellStyle name="20% - Accent2 2 2 4 2 3" xfId="376"/>
    <cellStyle name="20% - Accent2 2 2 4 2 3 2" xfId="9384"/>
    <cellStyle name="20% - Accent2 2 2 4 2 3 2 2" xfId="17200"/>
    <cellStyle name="20% - Accent2 2 2 4 2 3 3" xfId="13313"/>
    <cellStyle name="20% - Accent2 2 2 4 2 4" xfId="9381"/>
    <cellStyle name="20% - Accent2 2 2 4 2 4 2" xfId="17197"/>
    <cellStyle name="20% - Accent2 2 2 4 2 5" xfId="13310"/>
    <cellStyle name="20% - Accent2 2 2 4 3" xfId="377"/>
    <cellStyle name="20% - Accent2 2 2 4 3 2" xfId="378"/>
    <cellStyle name="20% - Accent2 2 2 4 3 2 2" xfId="9386"/>
    <cellStyle name="20% - Accent2 2 2 4 3 2 2 2" xfId="17202"/>
    <cellStyle name="20% - Accent2 2 2 4 3 2 3" xfId="13315"/>
    <cellStyle name="20% - Accent2 2 2 4 3 3" xfId="9385"/>
    <cellStyle name="20% - Accent2 2 2 4 3 3 2" xfId="17201"/>
    <cellStyle name="20% - Accent2 2 2 4 3 4" xfId="13314"/>
    <cellStyle name="20% - Accent2 2 2 4 4" xfId="379"/>
    <cellStyle name="20% - Accent2 2 2 4 4 2" xfId="9387"/>
    <cellStyle name="20% - Accent2 2 2 4 4 2 2" xfId="17203"/>
    <cellStyle name="20% - Accent2 2 2 4 4 3" xfId="13316"/>
    <cellStyle name="20% - Accent2 2 2 4 5" xfId="9380"/>
    <cellStyle name="20% - Accent2 2 2 4 5 2" xfId="17196"/>
    <cellStyle name="20% - Accent2 2 2 4 6" xfId="13309"/>
    <cellStyle name="20% - Accent2 2 2 5" xfId="380"/>
    <cellStyle name="20% - Accent2 2 2 5 2" xfId="381"/>
    <cellStyle name="20% - Accent2 2 2 5 2 2" xfId="382"/>
    <cellStyle name="20% - Accent2 2 2 5 2 2 2" xfId="383"/>
    <cellStyle name="20% - Accent2 2 2 5 2 2 2 2" xfId="9391"/>
    <cellStyle name="20% - Accent2 2 2 5 2 2 2 2 2" xfId="17207"/>
    <cellStyle name="20% - Accent2 2 2 5 2 2 2 3" xfId="13320"/>
    <cellStyle name="20% - Accent2 2 2 5 2 2 3" xfId="9390"/>
    <cellStyle name="20% - Accent2 2 2 5 2 2 3 2" xfId="17206"/>
    <cellStyle name="20% - Accent2 2 2 5 2 2 4" xfId="13319"/>
    <cellStyle name="20% - Accent2 2 2 5 2 3" xfId="384"/>
    <cellStyle name="20% - Accent2 2 2 5 2 3 2" xfId="9392"/>
    <cellStyle name="20% - Accent2 2 2 5 2 3 2 2" xfId="17208"/>
    <cellStyle name="20% - Accent2 2 2 5 2 3 3" xfId="13321"/>
    <cellStyle name="20% - Accent2 2 2 5 2 4" xfId="9389"/>
    <cellStyle name="20% - Accent2 2 2 5 2 4 2" xfId="17205"/>
    <cellStyle name="20% - Accent2 2 2 5 2 5" xfId="13318"/>
    <cellStyle name="20% - Accent2 2 2 5 3" xfId="385"/>
    <cellStyle name="20% - Accent2 2 2 5 3 2" xfId="386"/>
    <cellStyle name="20% - Accent2 2 2 5 3 2 2" xfId="9394"/>
    <cellStyle name="20% - Accent2 2 2 5 3 2 2 2" xfId="17210"/>
    <cellStyle name="20% - Accent2 2 2 5 3 2 3" xfId="13323"/>
    <cellStyle name="20% - Accent2 2 2 5 3 3" xfId="9393"/>
    <cellStyle name="20% - Accent2 2 2 5 3 3 2" xfId="17209"/>
    <cellStyle name="20% - Accent2 2 2 5 3 4" xfId="13322"/>
    <cellStyle name="20% - Accent2 2 2 5 4" xfId="387"/>
    <cellStyle name="20% - Accent2 2 2 5 4 2" xfId="388"/>
    <cellStyle name="20% - Accent2 2 2 5 4 2 2" xfId="9396"/>
    <cellStyle name="20% - Accent2 2 2 5 4 2 2 2" xfId="17212"/>
    <cellStyle name="20% - Accent2 2 2 5 4 2 3" xfId="13325"/>
    <cellStyle name="20% - Accent2 2 2 5 4 3" xfId="9395"/>
    <cellStyle name="20% - Accent2 2 2 5 4 3 2" xfId="17211"/>
    <cellStyle name="20% - Accent2 2 2 5 4 4" xfId="13324"/>
    <cellStyle name="20% - Accent2 2 2 5 5" xfId="389"/>
    <cellStyle name="20% - Accent2 2 2 5 5 2" xfId="9397"/>
    <cellStyle name="20% - Accent2 2 2 5 5 2 2" xfId="17213"/>
    <cellStyle name="20% - Accent2 2 2 5 5 3" xfId="13326"/>
    <cellStyle name="20% - Accent2 2 2 5 6" xfId="9388"/>
    <cellStyle name="20% - Accent2 2 2 5 6 2" xfId="17204"/>
    <cellStyle name="20% - Accent2 2 2 5 7" xfId="13317"/>
    <cellStyle name="20% - Accent2 2 2 6" xfId="390"/>
    <cellStyle name="20% - Accent2 2 2 6 2" xfId="391"/>
    <cellStyle name="20% - Accent2 2 2 6 2 2" xfId="392"/>
    <cellStyle name="20% - Accent2 2 2 6 2 2 2" xfId="9400"/>
    <cellStyle name="20% - Accent2 2 2 6 2 2 2 2" xfId="17216"/>
    <cellStyle name="20% - Accent2 2 2 6 2 2 3" xfId="13329"/>
    <cellStyle name="20% - Accent2 2 2 6 2 3" xfId="9399"/>
    <cellStyle name="20% - Accent2 2 2 6 2 3 2" xfId="17215"/>
    <cellStyle name="20% - Accent2 2 2 6 2 4" xfId="13328"/>
    <cellStyle name="20% - Accent2 2 2 6 3" xfId="393"/>
    <cellStyle name="20% - Accent2 2 2 6 3 2" xfId="9401"/>
    <cellStyle name="20% - Accent2 2 2 6 3 2 2" xfId="17217"/>
    <cellStyle name="20% - Accent2 2 2 6 3 3" xfId="13330"/>
    <cellStyle name="20% - Accent2 2 2 6 4" xfId="9398"/>
    <cellStyle name="20% - Accent2 2 2 6 4 2" xfId="17214"/>
    <cellStyle name="20% - Accent2 2 2 6 5" xfId="13327"/>
    <cellStyle name="20% - Accent2 2 2 7" xfId="394"/>
    <cellStyle name="20% - Accent2 2 2 7 2" xfId="395"/>
    <cellStyle name="20% - Accent2 2 2 7 2 2" xfId="9403"/>
    <cellStyle name="20% - Accent2 2 2 7 2 2 2" xfId="17219"/>
    <cellStyle name="20% - Accent2 2 2 7 2 3" xfId="13332"/>
    <cellStyle name="20% - Accent2 2 2 7 3" xfId="9402"/>
    <cellStyle name="20% - Accent2 2 2 7 3 2" xfId="17218"/>
    <cellStyle name="20% - Accent2 2 2 7 4" xfId="13331"/>
    <cellStyle name="20% - Accent2 2 2 8" xfId="396"/>
    <cellStyle name="20% - Accent2 2 2 8 2" xfId="9404"/>
    <cellStyle name="20% - Accent2 2 2 8 2 2" xfId="17220"/>
    <cellStyle name="20% - Accent2 2 2 8 3" xfId="13333"/>
    <cellStyle name="20% - Accent2 2 2 9" xfId="9333"/>
    <cellStyle name="20% - Accent2 2 2 9 2" xfId="17149"/>
    <cellStyle name="20% - Accent2 2 3" xfId="397"/>
    <cellStyle name="20% - Accent2 2 3 2" xfId="398"/>
    <cellStyle name="20% - Accent2 2 3 2 2" xfId="399"/>
    <cellStyle name="20% - Accent2 2 3 2 2 2" xfId="400"/>
    <cellStyle name="20% - Accent2 2 3 2 2 2 2" xfId="401"/>
    <cellStyle name="20% - Accent2 2 3 2 2 2 2 2" xfId="9409"/>
    <cellStyle name="20% - Accent2 2 3 2 2 2 2 2 2" xfId="17225"/>
    <cellStyle name="20% - Accent2 2 3 2 2 2 2 3" xfId="13338"/>
    <cellStyle name="20% - Accent2 2 3 2 2 2 3" xfId="9408"/>
    <cellStyle name="20% - Accent2 2 3 2 2 2 3 2" xfId="17224"/>
    <cellStyle name="20% - Accent2 2 3 2 2 2 4" xfId="13337"/>
    <cellStyle name="20% - Accent2 2 3 2 2 3" xfId="402"/>
    <cellStyle name="20% - Accent2 2 3 2 2 3 2" xfId="403"/>
    <cellStyle name="20% - Accent2 2 3 2 2 3 2 2" xfId="9411"/>
    <cellStyle name="20% - Accent2 2 3 2 2 3 2 2 2" xfId="17227"/>
    <cellStyle name="20% - Accent2 2 3 2 2 3 2 3" xfId="13340"/>
    <cellStyle name="20% - Accent2 2 3 2 2 3 3" xfId="9410"/>
    <cellStyle name="20% - Accent2 2 3 2 2 3 3 2" xfId="17226"/>
    <cellStyle name="20% - Accent2 2 3 2 2 3 4" xfId="13339"/>
    <cellStyle name="20% - Accent2 2 3 2 2 4" xfId="404"/>
    <cellStyle name="20% - Accent2 2 3 2 2 4 2" xfId="9412"/>
    <cellStyle name="20% - Accent2 2 3 2 2 4 2 2" xfId="17228"/>
    <cellStyle name="20% - Accent2 2 3 2 2 4 3" xfId="13341"/>
    <cellStyle name="20% - Accent2 2 3 2 2 5" xfId="9407"/>
    <cellStyle name="20% - Accent2 2 3 2 2 5 2" xfId="17223"/>
    <cellStyle name="20% - Accent2 2 3 2 2 6" xfId="13336"/>
    <cellStyle name="20% - Accent2 2 3 2 3" xfId="405"/>
    <cellStyle name="20% - Accent2 2 3 2 3 2" xfId="406"/>
    <cellStyle name="20% - Accent2 2 3 2 3 2 2" xfId="407"/>
    <cellStyle name="20% - Accent2 2 3 2 3 2 2 2" xfId="9415"/>
    <cellStyle name="20% - Accent2 2 3 2 3 2 2 2 2" xfId="17231"/>
    <cellStyle name="20% - Accent2 2 3 2 3 2 2 3" xfId="13344"/>
    <cellStyle name="20% - Accent2 2 3 2 3 2 3" xfId="9414"/>
    <cellStyle name="20% - Accent2 2 3 2 3 2 3 2" xfId="17230"/>
    <cellStyle name="20% - Accent2 2 3 2 3 2 4" xfId="13343"/>
    <cellStyle name="20% - Accent2 2 3 2 3 3" xfId="408"/>
    <cellStyle name="20% - Accent2 2 3 2 3 3 2" xfId="9416"/>
    <cellStyle name="20% - Accent2 2 3 2 3 3 2 2" xfId="17232"/>
    <cellStyle name="20% - Accent2 2 3 2 3 3 3" xfId="13345"/>
    <cellStyle name="20% - Accent2 2 3 2 3 4" xfId="9413"/>
    <cellStyle name="20% - Accent2 2 3 2 3 4 2" xfId="17229"/>
    <cellStyle name="20% - Accent2 2 3 2 3 5" xfId="13342"/>
    <cellStyle name="20% - Accent2 2 3 2 4" xfId="409"/>
    <cellStyle name="20% - Accent2 2 3 2 4 2" xfId="410"/>
    <cellStyle name="20% - Accent2 2 3 2 4 2 2" xfId="9418"/>
    <cellStyle name="20% - Accent2 2 3 2 4 2 2 2" xfId="17234"/>
    <cellStyle name="20% - Accent2 2 3 2 4 2 3" xfId="13347"/>
    <cellStyle name="20% - Accent2 2 3 2 4 3" xfId="9417"/>
    <cellStyle name="20% - Accent2 2 3 2 4 3 2" xfId="17233"/>
    <cellStyle name="20% - Accent2 2 3 2 4 4" xfId="13346"/>
    <cellStyle name="20% - Accent2 2 3 2 5" xfId="411"/>
    <cellStyle name="20% - Accent2 2 3 2 5 2" xfId="9419"/>
    <cellStyle name="20% - Accent2 2 3 2 5 2 2" xfId="17235"/>
    <cellStyle name="20% - Accent2 2 3 2 5 3" xfId="13348"/>
    <cellStyle name="20% - Accent2 2 3 2 6" xfId="9406"/>
    <cellStyle name="20% - Accent2 2 3 2 6 2" xfId="17222"/>
    <cellStyle name="20% - Accent2 2 3 2 7" xfId="13335"/>
    <cellStyle name="20% - Accent2 2 3 3" xfId="412"/>
    <cellStyle name="20% - Accent2 2 3 3 2" xfId="413"/>
    <cellStyle name="20% - Accent2 2 3 3 2 2" xfId="414"/>
    <cellStyle name="20% - Accent2 2 3 3 2 2 2" xfId="415"/>
    <cellStyle name="20% - Accent2 2 3 3 2 2 2 2" xfId="9423"/>
    <cellStyle name="20% - Accent2 2 3 3 2 2 2 2 2" xfId="17239"/>
    <cellStyle name="20% - Accent2 2 3 3 2 2 2 3" xfId="13352"/>
    <cellStyle name="20% - Accent2 2 3 3 2 2 3" xfId="9422"/>
    <cellStyle name="20% - Accent2 2 3 3 2 2 3 2" xfId="17238"/>
    <cellStyle name="20% - Accent2 2 3 3 2 2 4" xfId="13351"/>
    <cellStyle name="20% - Accent2 2 3 3 2 3" xfId="416"/>
    <cellStyle name="20% - Accent2 2 3 3 2 3 2" xfId="9424"/>
    <cellStyle name="20% - Accent2 2 3 3 2 3 2 2" xfId="17240"/>
    <cellStyle name="20% - Accent2 2 3 3 2 3 3" xfId="13353"/>
    <cellStyle name="20% - Accent2 2 3 3 2 4" xfId="9421"/>
    <cellStyle name="20% - Accent2 2 3 3 2 4 2" xfId="17237"/>
    <cellStyle name="20% - Accent2 2 3 3 2 5" xfId="13350"/>
    <cellStyle name="20% - Accent2 2 3 3 3" xfId="417"/>
    <cellStyle name="20% - Accent2 2 3 3 3 2" xfId="418"/>
    <cellStyle name="20% - Accent2 2 3 3 3 2 2" xfId="9426"/>
    <cellStyle name="20% - Accent2 2 3 3 3 2 2 2" xfId="17242"/>
    <cellStyle name="20% - Accent2 2 3 3 3 2 3" xfId="13355"/>
    <cellStyle name="20% - Accent2 2 3 3 3 3" xfId="9425"/>
    <cellStyle name="20% - Accent2 2 3 3 3 3 2" xfId="17241"/>
    <cellStyle name="20% - Accent2 2 3 3 3 4" xfId="13354"/>
    <cellStyle name="20% - Accent2 2 3 3 4" xfId="419"/>
    <cellStyle name="20% - Accent2 2 3 3 4 2" xfId="420"/>
    <cellStyle name="20% - Accent2 2 3 3 4 2 2" xfId="9428"/>
    <cellStyle name="20% - Accent2 2 3 3 4 2 2 2" xfId="17244"/>
    <cellStyle name="20% - Accent2 2 3 3 4 2 3" xfId="13357"/>
    <cellStyle name="20% - Accent2 2 3 3 4 3" xfId="9427"/>
    <cellStyle name="20% - Accent2 2 3 3 4 3 2" xfId="17243"/>
    <cellStyle name="20% - Accent2 2 3 3 4 4" xfId="13356"/>
    <cellStyle name="20% - Accent2 2 3 3 5" xfId="421"/>
    <cellStyle name="20% - Accent2 2 3 3 5 2" xfId="9429"/>
    <cellStyle name="20% - Accent2 2 3 3 5 2 2" xfId="17245"/>
    <cellStyle name="20% - Accent2 2 3 3 5 3" xfId="13358"/>
    <cellStyle name="20% - Accent2 2 3 3 6" xfId="9420"/>
    <cellStyle name="20% - Accent2 2 3 3 6 2" xfId="17236"/>
    <cellStyle name="20% - Accent2 2 3 3 7" xfId="13349"/>
    <cellStyle name="20% - Accent2 2 3 4" xfId="422"/>
    <cellStyle name="20% - Accent2 2 3 4 2" xfId="423"/>
    <cellStyle name="20% - Accent2 2 3 4 2 2" xfId="424"/>
    <cellStyle name="20% - Accent2 2 3 4 2 2 2" xfId="9432"/>
    <cellStyle name="20% - Accent2 2 3 4 2 2 2 2" xfId="17248"/>
    <cellStyle name="20% - Accent2 2 3 4 2 2 3" xfId="13361"/>
    <cellStyle name="20% - Accent2 2 3 4 2 3" xfId="9431"/>
    <cellStyle name="20% - Accent2 2 3 4 2 3 2" xfId="17247"/>
    <cellStyle name="20% - Accent2 2 3 4 2 4" xfId="13360"/>
    <cellStyle name="20% - Accent2 2 3 4 3" xfId="425"/>
    <cellStyle name="20% - Accent2 2 3 4 3 2" xfId="9433"/>
    <cellStyle name="20% - Accent2 2 3 4 3 2 2" xfId="17249"/>
    <cellStyle name="20% - Accent2 2 3 4 3 3" xfId="13362"/>
    <cellStyle name="20% - Accent2 2 3 4 4" xfId="9430"/>
    <cellStyle name="20% - Accent2 2 3 4 4 2" xfId="17246"/>
    <cellStyle name="20% - Accent2 2 3 4 5" xfId="13359"/>
    <cellStyle name="20% - Accent2 2 3 5" xfId="426"/>
    <cellStyle name="20% - Accent2 2 3 5 2" xfId="427"/>
    <cellStyle name="20% - Accent2 2 3 5 2 2" xfId="9435"/>
    <cellStyle name="20% - Accent2 2 3 5 2 2 2" xfId="17251"/>
    <cellStyle name="20% - Accent2 2 3 5 2 3" xfId="13364"/>
    <cellStyle name="20% - Accent2 2 3 5 3" xfId="9434"/>
    <cellStyle name="20% - Accent2 2 3 5 3 2" xfId="17250"/>
    <cellStyle name="20% - Accent2 2 3 5 4" xfId="13363"/>
    <cellStyle name="20% - Accent2 2 3 6" xfId="428"/>
    <cellStyle name="20% - Accent2 2 3 6 2" xfId="9436"/>
    <cellStyle name="20% - Accent2 2 3 6 2 2" xfId="17252"/>
    <cellStyle name="20% - Accent2 2 3 6 3" xfId="13365"/>
    <cellStyle name="20% - Accent2 2 3 7" xfId="9405"/>
    <cellStyle name="20% - Accent2 2 3 7 2" xfId="17221"/>
    <cellStyle name="20% - Accent2 2 3 8" xfId="13334"/>
    <cellStyle name="20% - Accent2 2 4" xfId="429"/>
    <cellStyle name="20% - Accent2 2 4 2" xfId="430"/>
    <cellStyle name="20% - Accent2 2 4 2 2" xfId="431"/>
    <cellStyle name="20% - Accent2 2 4 2 2 2" xfId="432"/>
    <cellStyle name="20% - Accent2 2 4 2 2 2 2" xfId="9440"/>
    <cellStyle name="20% - Accent2 2 4 2 2 2 2 2" xfId="17256"/>
    <cellStyle name="20% - Accent2 2 4 2 2 2 3" xfId="13369"/>
    <cellStyle name="20% - Accent2 2 4 2 2 3" xfId="9439"/>
    <cellStyle name="20% - Accent2 2 4 2 2 3 2" xfId="17255"/>
    <cellStyle name="20% - Accent2 2 4 2 2 4" xfId="13368"/>
    <cellStyle name="20% - Accent2 2 4 2 3" xfId="433"/>
    <cellStyle name="20% - Accent2 2 4 2 3 2" xfId="434"/>
    <cellStyle name="20% - Accent2 2 4 2 3 2 2" xfId="9442"/>
    <cellStyle name="20% - Accent2 2 4 2 3 2 2 2" xfId="17258"/>
    <cellStyle name="20% - Accent2 2 4 2 3 2 3" xfId="13371"/>
    <cellStyle name="20% - Accent2 2 4 2 3 3" xfId="9441"/>
    <cellStyle name="20% - Accent2 2 4 2 3 3 2" xfId="17257"/>
    <cellStyle name="20% - Accent2 2 4 2 3 4" xfId="13370"/>
    <cellStyle name="20% - Accent2 2 4 2 4" xfId="435"/>
    <cellStyle name="20% - Accent2 2 4 2 4 2" xfId="9443"/>
    <cellStyle name="20% - Accent2 2 4 2 4 2 2" xfId="17259"/>
    <cellStyle name="20% - Accent2 2 4 2 4 3" xfId="13372"/>
    <cellStyle name="20% - Accent2 2 4 2 5" xfId="9438"/>
    <cellStyle name="20% - Accent2 2 4 2 5 2" xfId="17254"/>
    <cellStyle name="20% - Accent2 2 4 2 6" xfId="13367"/>
    <cellStyle name="20% - Accent2 2 4 3" xfId="436"/>
    <cellStyle name="20% - Accent2 2 4 3 2" xfId="437"/>
    <cellStyle name="20% - Accent2 2 4 3 2 2" xfId="438"/>
    <cellStyle name="20% - Accent2 2 4 3 2 2 2" xfId="9446"/>
    <cellStyle name="20% - Accent2 2 4 3 2 2 2 2" xfId="17262"/>
    <cellStyle name="20% - Accent2 2 4 3 2 2 3" xfId="13375"/>
    <cellStyle name="20% - Accent2 2 4 3 2 3" xfId="9445"/>
    <cellStyle name="20% - Accent2 2 4 3 2 3 2" xfId="17261"/>
    <cellStyle name="20% - Accent2 2 4 3 2 4" xfId="13374"/>
    <cellStyle name="20% - Accent2 2 4 3 3" xfId="439"/>
    <cellStyle name="20% - Accent2 2 4 3 3 2" xfId="9447"/>
    <cellStyle name="20% - Accent2 2 4 3 3 2 2" xfId="17263"/>
    <cellStyle name="20% - Accent2 2 4 3 3 3" xfId="13376"/>
    <cellStyle name="20% - Accent2 2 4 3 4" xfId="9444"/>
    <cellStyle name="20% - Accent2 2 4 3 4 2" xfId="17260"/>
    <cellStyle name="20% - Accent2 2 4 3 5" xfId="13373"/>
    <cellStyle name="20% - Accent2 2 4 4" xfId="440"/>
    <cellStyle name="20% - Accent2 2 4 4 2" xfId="441"/>
    <cellStyle name="20% - Accent2 2 4 4 2 2" xfId="9449"/>
    <cellStyle name="20% - Accent2 2 4 4 2 2 2" xfId="17265"/>
    <cellStyle name="20% - Accent2 2 4 4 2 3" xfId="13378"/>
    <cellStyle name="20% - Accent2 2 4 4 3" xfId="9448"/>
    <cellStyle name="20% - Accent2 2 4 4 3 2" xfId="17264"/>
    <cellStyle name="20% - Accent2 2 4 4 4" xfId="13377"/>
    <cellStyle name="20% - Accent2 2 4 5" xfId="442"/>
    <cellStyle name="20% - Accent2 2 4 5 2" xfId="9450"/>
    <cellStyle name="20% - Accent2 2 4 5 2 2" xfId="17266"/>
    <cellStyle name="20% - Accent2 2 4 5 3" xfId="13379"/>
    <cellStyle name="20% - Accent2 2 4 6" xfId="9437"/>
    <cellStyle name="20% - Accent2 2 4 6 2" xfId="17253"/>
    <cellStyle name="20% - Accent2 2 4 7" xfId="13366"/>
    <cellStyle name="20% - Accent2 2 5" xfId="443"/>
    <cellStyle name="20% - Accent2 2 5 2" xfId="444"/>
    <cellStyle name="20% - Accent2 2 5 2 2" xfId="445"/>
    <cellStyle name="20% - Accent2 2 5 2 2 2" xfId="446"/>
    <cellStyle name="20% - Accent2 2 5 2 2 2 2" xfId="9454"/>
    <cellStyle name="20% - Accent2 2 5 2 2 2 2 2" xfId="17270"/>
    <cellStyle name="20% - Accent2 2 5 2 2 2 3" xfId="13383"/>
    <cellStyle name="20% - Accent2 2 5 2 2 3" xfId="9453"/>
    <cellStyle name="20% - Accent2 2 5 2 2 3 2" xfId="17269"/>
    <cellStyle name="20% - Accent2 2 5 2 2 4" xfId="13382"/>
    <cellStyle name="20% - Accent2 2 5 2 3" xfId="447"/>
    <cellStyle name="20% - Accent2 2 5 2 3 2" xfId="9455"/>
    <cellStyle name="20% - Accent2 2 5 2 3 2 2" xfId="17271"/>
    <cellStyle name="20% - Accent2 2 5 2 3 3" xfId="13384"/>
    <cellStyle name="20% - Accent2 2 5 2 4" xfId="9452"/>
    <cellStyle name="20% - Accent2 2 5 2 4 2" xfId="17268"/>
    <cellStyle name="20% - Accent2 2 5 2 5" xfId="13381"/>
    <cellStyle name="20% - Accent2 2 5 3" xfId="448"/>
    <cellStyle name="20% - Accent2 2 5 3 2" xfId="449"/>
    <cellStyle name="20% - Accent2 2 5 3 2 2" xfId="9457"/>
    <cellStyle name="20% - Accent2 2 5 3 2 2 2" xfId="17273"/>
    <cellStyle name="20% - Accent2 2 5 3 2 3" xfId="13386"/>
    <cellStyle name="20% - Accent2 2 5 3 3" xfId="9456"/>
    <cellStyle name="20% - Accent2 2 5 3 3 2" xfId="17272"/>
    <cellStyle name="20% - Accent2 2 5 3 4" xfId="13385"/>
    <cellStyle name="20% - Accent2 2 5 4" xfId="450"/>
    <cellStyle name="20% - Accent2 2 5 4 2" xfId="9458"/>
    <cellStyle name="20% - Accent2 2 5 4 2 2" xfId="17274"/>
    <cellStyle name="20% - Accent2 2 5 4 3" xfId="13387"/>
    <cellStyle name="20% - Accent2 2 5 5" xfId="9451"/>
    <cellStyle name="20% - Accent2 2 5 5 2" xfId="17267"/>
    <cellStyle name="20% - Accent2 2 5 6" xfId="13380"/>
    <cellStyle name="20% - Accent2 2 6" xfId="451"/>
    <cellStyle name="20% - Accent2 2 6 2" xfId="452"/>
    <cellStyle name="20% - Accent2 2 6 2 2" xfId="453"/>
    <cellStyle name="20% - Accent2 2 6 2 2 2" xfId="454"/>
    <cellStyle name="20% - Accent2 2 6 2 2 2 2" xfId="9462"/>
    <cellStyle name="20% - Accent2 2 6 2 2 2 2 2" xfId="17278"/>
    <cellStyle name="20% - Accent2 2 6 2 2 2 3" xfId="13391"/>
    <cellStyle name="20% - Accent2 2 6 2 2 3" xfId="9461"/>
    <cellStyle name="20% - Accent2 2 6 2 2 3 2" xfId="17277"/>
    <cellStyle name="20% - Accent2 2 6 2 2 4" xfId="13390"/>
    <cellStyle name="20% - Accent2 2 6 2 3" xfId="455"/>
    <cellStyle name="20% - Accent2 2 6 2 3 2" xfId="9463"/>
    <cellStyle name="20% - Accent2 2 6 2 3 2 2" xfId="17279"/>
    <cellStyle name="20% - Accent2 2 6 2 3 3" xfId="13392"/>
    <cellStyle name="20% - Accent2 2 6 2 4" xfId="9460"/>
    <cellStyle name="20% - Accent2 2 6 2 4 2" xfId="17276"/>
    <cellStyle name="20% - Accent2 2 6 2 5" xfId="13389"/>
    <cellStyle name="20% - Accent2 2 6 3" xfId="456"/>
    <cellStyle name="20% - Accent2 2 6 3 2" xfId="457"/>
    <cellStyle name="20% - Accent2 2 6 3 2 2" xfId="9465"/>
    <cellStyle name="20% - Accent2 2 6 3 2 2 2" xfId="17281"/>
    <cellStyle name="20% - Accent2 2 6 3 2 3" xfId="13394"/>
    <cellStyle name="20% - Accent2 2 6 3 3" xfId="9464"/>
    <cellStyle name="20% - Accent2 2 6 3 3 2" xfId="17280"/>
    <cellStyle name="20% - Accent2 2 6 3 4" xfId="13393"/>
    <cellStyle name="20% - Accent2 2 6 4" xfId="458"/>
    <cellStyle name="20% - Accent2 2 6 4 2" xfId="9466"/>
    <cellStyle name="20% - Accent2 2 6 4 2 2" xfId="17282"/>
    <cellStyle name="20% - Accent2 2 6 4 3" xfId="13395"/>
    <cellStyle name="20% - Accent2 2 6 5" xfId="9459"/>
    <cellStyle name="20% - Accent2 2 6 5 2" xfId="17275"/>
    <cellStyle name="20% - Accent2 2 6 6" xfId="13388"/>
    <cellStyle name="20% - Accent2 2 7" xfId="459"/>
    <cellStyle name="20% - Accent2 2 7 2" xfId="460"/>
    <cellStyle name="20% - Accent2 2 7 2 2" xfId="461"/>
    <cellStyle name="20% - Accent2 2 7 2 2 2" xfId="9469"/>
    <cellStyle name="20% - Accent2 2 7 2 2 2 2" xfId="17285"/>
    <cellStyle name="20% - Accent2 2 7 2 2 3" xfId="13398"/>
    <cellStyle name="20% - Accent2 2 7 2 3" xfId="9468"/>
    <cellStyle name="20% - Accent2 2 7 2 3 2" xfId="17284"/>
    <cellStyle name="20% - Accent2 2 7 2 4" xfId="13397"/>
    <cellStyle name="20% - Accent2 2 7 3" xfId="462"/>
    <cellStyle name="20% - Accent2 2 7 3 2" xfId="9470"/>
    <cellStyle name="20% - Accent2 2 7 3 2 2" xfId="17286"/>
    <cellStyle name="20% - Accent2 2 7 3 3" xfId="13399"/>
    <cellStyle name="20% - Accent2 2 7 4" xfId="9467"/>
    <cellStyle name="20% - Accent2 2 7 4 2" xfId="17283"/>
    <cellStyle name="20% - Accent2 2 7 5" xfId="13396"/>
    <cellStyle name="20% - Accent2 2 8" xfId="463"/>
    <cellStyle name="20% - Accent2 2 8 2" xfId="464"/>
    <cellStyle name="20% - Accent2 2 8 2 2" xfId="9472"/>
    <cellStyle name="20% - Accent2 2 8 2 2 2" xfId="17288"/>
    <cellStyle name="20% - Accent2 2 8 2 3" xfId="13401"/>
    <cellStyle name="20% - Accent2 2 8 3" xfId="9471"/>
    <cellStyle name="20% - Accent2 2 8 3 2" xfId="17287"/>
    <cellStyle name="20% - Accent2 2 8 4" xfId="13400"/>
    <cellStyle name="20% - Accent2 2 9" xfId="465"/>
    <cellStyle name="20% - Accent2 2 9 2" xfId="466"/>
    <cellStyle name="20% - Accent2 2 9 2 2" xfId="9474"/>
    <cellStyle name="20% - Accent2 2 9 2 2 2" xfId="17290"/>
    <cellStyle name="20% - Accent2 2 9 2 3" xfId="13403"/>
    <cellStyle name="20% - Accent2 2 9 3" xfId="9473"/>
    <cellStyle name="20% - Accent2 2 9 3 2" xfId="17289"/>
    <cellStyle name="20% - Accent2 2 9 4" xfId="13402"/>
    <cellStyle name="20% - Accent2 3" xfId="467"/>
    <cellStyle name="20% - Accent2 3 2" xfId="468"/>
    <cellStyle name="20% - Accent2 3 2 2" xfId="469"/>
    <cellStyle name="20% - Accent2 3 2 2 2" xfId="470"/>
    <cellStyle name="20% - Accent2 3 2 2 2 2" xfId="471"/>
    <cellStyle name="20% - Accent2 3 2 2 2 2 2" xfId="472"/>
    <cellStyle name="20% - Accent2 3 2 2 2 2 2 2" xfId="9479"/>
    <cellStyle name="20% - Accent2 3 2 2 2 2 2 2 2" xfId="17295"/>
    <cellStyle name="20% - Accent2 3 2 2 2 2 2 3" xfId="13408"/>
    <cellStyle name="20% - Accent2 3 2 2 2 2 3" xfId="9478"/>
    <cellStyle name="20% - Accent2 3 2 2 2 2 3 2" xfId="17294"/>
    <cellStyle name="20% - Accent2 3 2 2 2 2 4" xfId="13407"/>
    <cellStyle name="20% - Accent2 3 2 2 2 3" xfId="473"/>
    <cellStyle name="20% - Accent2 3 2 2 2 3 2" xfId="474"/>
    <cellStyle name="20% - Accent2 3 2 2 2 3 2 2" xfId="9481"/>
    <cellStyle name="20% - Accent2 3 2 2 2 3 2 2 2" xfId="17297"/>
    <cellStyle name="20% - Accent2 3 2 2 2 3 2 3" xfId="13410"/>
    <cellStyle name="20% - Accent2 3 2 2 2 3 3" xfId="9480"/>
    <cellStyle name="20% - Accent2 3 2 2 2 3 3 2" xfId="17296"/>
    <cellStyle name="20% - Accent2 3 2 2 2 3 4" xfId="13409"/>
    <cellStyle name="20% - Accent2 3 2 2 2 4" xfId="475"/>
    <cellStyle name="20% - Accent2 3 2 2 2 4 2" xfId="9482"/>
    <cellStyle name="20% - Accent2 3 2 2 2 4 2 2" xfId="17298"/>
    <cellStyle name="20% - Accent2 3 2 2 2 4 3" xfId="13411"/>
    <cellStyle name="20% - Accent2 3 2 2 2 5" xfId="9477"/>
    <cellStyle name="20% - Accent2 3 2 2 2 5 2" xfId="17293"/>
    <cellStyle name="20% - Accent2 3 2 2 2 6" xfId="13406"/>
    <cellStyle name="20% - Accent2 3 2 2 3" xfId="476"/>
    <cellStyle name="20% - Accent2 3 2 2 3 2" xfId="477"/>
    <cellStyle name="20% - Accent2 3 2 2 3 2 2" xfId="478"/>
    <cellStyle name="20% - Accent2 3 2 2 3 2 2 2" xfId="9485"/>
    <cellStyle name="20% - Accent2 3 2 2 3 2 2 2 2" xfId="17301"/>
    <cellStyle name="20% - Accent2 3 2 2 3 2 2 3" xfId="13414"/>
    <cellStyle name="20% - Accent2 3 2 2 3 2 3" xfId="9484"/>
    <cellStyle name="20% - Accent2 3 2 2 3 2 3 2" xfId="17300"/>
    <cellStyle name="20% - Accent2 3 2 2 3 2 4" xfId="13413"/>
    <cellStyle name="20% - Accent2 3 2 2 3 3" xfId="479"/>
    <cellStyle name="20% - Accent2 3 2 2 3 3 2" xfId="9486"/>
    <cellStyle name="20% - Accent2 3 2 2 3 3 2 2" xfId="17302"/>
    <cellStyle name="20% - Accent2 3 2 2 3 3 3" xfId="13415"/>
    <cellStyle name="20% - Accent2 3 2 2 3 4" xfId="9483"/>
    <cellStyle name="20% - Accent2 3 2 2 3 4 2" xfId="17299"/>
    <cellStyle name="20% - Accent2 3 2 2 3 5" xfId="13412"/>
    <cellStyle name="20% - Accent2 3 2 2 4" xfId="480"/>
    <cellStyle name="20% - Accent2 3 2 2 4 2" xfId="481"/>
    <cellStyle name="20% - Accent2 3 2 2 4 2 2" xfId="9488"/>
    <cellStyle name="20% - Accent2 3 2 2 4 2 2 2" xfId="17304"/>
    <cellStyle name="20% - Accent2 3 2 2 4 2 3" xfId="13417"/>
    <cellStyle name="20% - Accent2 3 2 2 4 3" xfId="9487"/>
    <cellStyle name="20% - Accent2 3 2 2 4 3 2" xfId="17303"/>
    <cellStyle name="20% - Accent2 3 2 2 4 4" xfId="13416"/>
    <cellStyle name="20% - Accent2 3 2 2 5" xfId="482"/>
    <cellStyle name="20% - Accent2 3 2 2 5 2" xfId="9489"/>
    <cellStyle name="20% - Accent2 3 2 2 5 2 2" xfId="17305"/>
    <cellStyle name="20% - Accent2 3 2 2 5 3" xfId="13418"/>
    <cellStyle name="20% - Accent2 3 2 2 6" xfId="9476"/>
    <cellStyle name="20% - Accent2 3 2 2 6 2" xfId="17292"/>
    <cellStyle name="20% - Accent2 3 2 2 7" xfId="13405"/>
    <cellStyle name="20% - Accent2 3 2 3" xfId="483"/>
    <cellStyle name="20% - Accent2 3 2 3 2" xfId="484"/>
    <cellStyle name="20% - Accent2 3 2 3 2 2" xfId="485"/>
    <cellStyle name="20% - Accent2 3 2 3 2 2 2" xfId="486"/>
    <cellStyle name="20% - Accent2 3 2 3 2 2 2 2" xfId="9493"/>
    <cellStyle name="20% - Accent2 3 2 3 2 2 2 2 2" xfId="17309"/>
    <cellStyle name="20% - Accent2 3 2 3 2 2 2 3" xfId="13422"/>
    <cellStyle name="20% - Accent2 3 2 3 2 2 3" xfId="9492"/>
    <cellStyle name="20% - Accent2 3 2 3 2 2 3 2" xfId="17308"/>
    <cellStyle name="20% - Accent2 3 2 3 2 2 4" xfId="13421"/>
    <cellStyle name="20% - Accent2 3 2 3 2 3" xfId="487"/>
    <cellStyle name="20% - Accent2 3 2 3 2 3 2" xfId="9494"/>
    <cellStyle name="20% - Accent2 3 2 3 2 3 2 2" xfId="17310"/>
    <cellStyle name="20% - Accent2 3 2 3 2 3 3" xfId="13423"/>
    <cellStyle name="20% - Accent2 3 2 3 2 4" xfId="9491"/>
    <cellStyle name="20% - Accent2 3 2 3 2 4 2" xfId="17307"/>
    <cellStyle name="20% - Accent2 3 2 3 2 5" xfId="13420"/>
    <cellStyle name="20% - Accent2 3 2 3 3" xfId="488"/>
    <cellStyle name="20% - Accent2 3 2 3 3 2" xfId="489"/>
    <cellStyle name="20% - Accent2 3 2 3 3 2 2" xfId="9496"/>
    <cellStyle name="20% - Accent2 3 2 3 3 2 2 2" xfId="17312"/>
    <cellStyle name="20% - Accent2 3 2 3 3 2 3" xfId="13425"/>
    <cellStyle name="20% - Accent2 3 2 3 3 3" xfId="9495"/>
    <cellStyle name="20% - Accent2 3 2 3 3 3 2" xfId="17311"/>
    <cellStyle name="20% - Accent2 3 2 3 3 4" xfId="13424"/>
    <cellStyle name="20% - Accent2 3 2 3 4" xfId="490"/>
    <cellStyle name="20% - Accent2 3 2 3 4 2" xfId="491"/>
    <cellStyle name="20% - Accent2 3 2 3 4 2 2" xfId="9498"/>
    <cellStyle name="20% - Accent2 3 2 3 4 2 2 2" xfId="17314"/>
    <cellStyle name="20% - Accent2 3 2 3 4 2 3" xfId="13427"/>
    <cellStyle name="20% - Accent2 3 2 3 4 3" xfId="9497"/>
    <cellStyle name="20% - Accent2 3 2 3 4 3 2" xfId="17313"/>
    <cellStyle name="20% - Accent2 3 2 3 4 4" xfId="13426"/>
    <cellStyle name="20% - Accent2 3 2 3 5" xfId="492"/>
    <cellStyle name="20% - Accent2 3 2 3 5 2" xfId="9499"/>
    <cellStyle name="20% - Accent2 3 2 3 5 2 2" xfId="17315"/>
    <cellStyle name="20% - Accent2 3 2 3 5 3" xfId="13428"/>
    <cellStyle name="20% - Accent2 3 2 3 6" xfId="9490"/>
    <cellStyle name="20% - Accent2 3 2 3 6 2" xfId="17306"/>
    <cellStyle name="20% - Accent2 3 2 3 7" xfId="13419"/>
    <cellStyle name="20% - Accent2 3 2 4" xfId="493"/>
    <cellStyle name="20% - Accent2 3 2 4 2" xfId="494"/>
    <cellStyle name="20% - Accent2 3 2 4 2 2" xfId="495"/>
    <cellStyle name="20% - Accent2 3 2 4 2 2 2" xfId="9502"/>
    <cellStyle name="20% - Accent2 3 2 4 2 2 2 2" xfId="17318"/>
    <cellStyle name="20% - Accent2 3 2 4 2 2 3" xfId="13431"/>
    <cellStyle name="20% - Accent2 3 2 4 2 3" xfId="9501"/>
    <cellStyle name="20% - Accent2 3 2 4 2 3 2" xfId="17317"/>
    <cellStyle name="20% - Accent2 3 2 4 2 4" xfId="13430"/>
    <cellStyle name="20% - Accent2 3 2 4 3" xfId="496"/>
    <cellStyle name="20% - Accent2 3 2 4 3 2" xfId="9503"/>
    <cellStyle name="20% - Accent2 3 2 4 3 2 2" xfId="17319"/>
    <cellStyle name="20% - Accent2 3 2 4 3 3" xfId="13432"/>
    <cellStyle name="20% - Accent2 3 2 4 4" xfId="9500"/>
    <cellStyle name="20% - Accent2 3 2 4 4 2" xfId="17316"/>
    <cellStyle name="20% - Accent2 3 2 4 5" xfId="13429"/>
    <cellStyle name="20% - Accent2 3 2 5" xfId="497"/>
    <cellStyle name="20% - Accent2 3 2 5 2" xfId="498"/>
    <cellStyle name="20% - Accent2 3 2 5 2 2" xfId="9505"/>
    <cellStyle name="20% - Accent2 3 2 5 2 2 2" xfId="17321"/>
    <cellStyle name="20% - Accent2 3 2 5 2 3" xfId="13434"/>
    <cellStyle name="20% - Accent2 3 2 5 3" xfId="9504"/>
    <cellStyle name="20% - Accent2 3 2 5 3 2" xfId="17320"/>
    <cellStyle name="20% - Accent2 3 2 5 4" xfId="13433"/>
    <cellStyle name="20% - Accent2 3 2 6" xfId="499"/>
    <cellStyle name="20% - Accent2 3 2 6 2" xfId="9506"/>
    <cellStyle name="20% - Accent2 3 2 6 2 2" xfId="17322"/>
    <cellStyle name="20% - Accent2 3 2 6 3" xfId="13435"/>
    <cellStyle name="20% - Accent2 3 2 7" xfId="9475"/>
    <cellStyle name="20% - Accent2 3 2 7 2" xfId="17291"/>
    <cellStyle name="20% - Accent2 3 2 8" xfId="13404"/>
    <cellStyle name="20% - Accent2 3 3" xfId="500"/>
    <cellStyle name="20% - Accent2 3 3 2" xfId="501"/>
    <cellStyle name="20% - Accent2 3 3 2 2" xfId="502"/>
    <cellStyle name="20% - Accent2 3 3 2 2 2" xfId="503"/>
    <cellStyle name="20% - Accent2 3 3 2 2 2 2" xfId="9510"/>
    <cellStyle name="20% - Accent2 3 3 2 2 2 2 2" xfId="17326"/>
    <cellStyle name="20% - Accent2 3 3 2 2 2 3" xfId="13439"/>
    <cellStyle name="20% - Accent2 3 3 2 2 3" xfId="9509"/>
    <cellStyle name="20% - Accent2 3 3 2 2 3 2" xfId="17325"/>
    <cellStyle name="20% - Accent2 3 3 2 2 4" xfId="13438"/>
    <cellStyle name="20% - Accent2 3 3 2 3" xfId="504"/>
    <cellStyle name="20% - Accent2 3 3 2 3 2" xfId="505"/>
    <cellStyle name="20% - Accent2 3 3 2 3 2 2" xfId="9512"/>
    <cellStyle name="20% - Accent2 3 3 2 3 2 2 2" xfId="17328"/>
    <cellStyle name="20% - Accent2 3 3 2 3 2 3" xfId="13441"/>
    <cellStyle name="20% - Accent2 3 3 2 3 3" xfId="9511"/>
    <cellStyle name="20% - Accent2 3 3 2 3 3 2" xfId="17327"/>
    <cellStyle name="20% - Accent2 3 3 2 3 4" xfId="13440"/>
    <cellStyle name="20% - Accent2 3 3 2 4" xfId="506"/>
    <cellStyle name="20% - Accent2 3 3 2 4 2" xfId="9513"/>
    <cellStyle name="20% - Accent2 3 3 2 4 2 2" xfId="17329"/>
    <cellStyle name="20% - Accent2 3 3 2 4 3" xfId="13442"/>
    <cellStyle name="20% - Accent2 3 3 2 5" xfId="9508"/>
    <cellStyle name="20% - Accent2 3 3 2 5 2" xfId="17324"/>
    <cellStyle name="20% - Accent2 3 3 2 6" xfId="13437"/>
    <cellStyle name="20% - Accent2 3 3 3" xfId="507"/>
    <cellStyle name="20% - Accent2 3 3 3 2" xfId="508"/>
    <cellStyle name="20% - Accent2 3 3 3 2 2" xfId="509"/>
    <cellStyle name="20% - Accent2 3 3 3 2 2 2" xfId="9516"/>
    <cellStyle name="20% - Accent2 3 3 3 2 2 2 2" xfId="17332"/>
    <cellStyle name="20% - Accent2 3 3 3 2 2 3" xfId="13445"/>
    <cellStyle name="20% - Accent2 3 3 3 2 3" xfId="9515"/>
    <cellStyle name="20% - Accent2 3 3 3 2 3 2" xfId="17331"/>
    <cellStyle name="20% - Accent2 3 3 3 2 4" xfId="13444"/>
    <cellStyle name="20% - Accent2 3 3 3 3" xfId="510"/>
    <cellStyle name="20% - Accent2 3 3 3 3 2" xfId="9517"/>
    <cellStyle name="20% - Accent2 3 3 3 3 2 2" xfId="17333"/>
    <cellStyle name="20% - Accent2 3 3 3 3 3" xfId="13446"/>
    <cellStyle name="20% - Accent2 3 3 3 4" xfId="9514"/>
    <cellStyle name="20% - Accent2 3 3 3 4 2" xfId="17330"/>
    <cellStyle name="20% - Accent2 3 3 3 5" xfId="13443"/>
    <cellStyle name="20% - Accent2 3 3 4" xfId="511"/>
    <cellStyle name="20% - Accent2 3 3 4 2" xfId="512"/>
    <cellStyle name="20% - Accent2 3 3 4 2 2" xfId="9519"/>
    <cellStyle name="20% - Accent2 3 3 4 2 2 2" xfId="17335"/>
    <cellStyle name="20% - Accent2 3 3 4 2 3" xfId="13448"/>
    <cellStyle name="20% - Accent2 3 3 4 3" xfId="9518"/>
    <cellStyle name="20% - Accent2 3 3 4 3 2" xfId="17334"/>
    <cellStyle name="20% - Accent2 3 3 4 4" xfId="13447"/>
    <cellStyle name="20% - Accent2 3 3 5" xfId="513"/>
    <cellStyle name="20% - Accent2 3 3 5 2" xfId="9520"/>
    <cellStyle name="20% - Accent2 3 3 5 2 2" xfId="17336"/>
    <cellStyle name="20% - Accent2 3 3 5 3" xfId="13449"/>
    <cellStyle name="20% - Accent2 3 3 6" xfId="9507"/>
    <cellStyle name="20% - Accent2 3 3 6 2" xfId="17323"/>
    <cellStyle name="20% - Accent2 3 3 7" xfId="13436"/>
    <cellStyle name="20% - Accent2 3 4" xfId="514"/>
    <cellStyle name="20% - Accent2 3 4 2" xfId="515"/>
    <cellStyle name="20% - Accent2 3 4 2 2" xfId="516"/>
    <cellStyle name="20% - Accent2 3 4 2 2 2" xfId="517"/>
    <cellStyle name="20% - Accent2 3 4 2 2 2 2" xfId="9524"/>
    <cellStyle name="20% - Accent2 3 4 2 2 2 2 2" xfId="17340"/>
    <cellStyle name="20% - Accent2 3 4 2 2 2 3" xfId="13453"/>
    <cellStyle name="20% - Accent2 3 4 2 2 3" xfId="9523"/>
    <cellStyle name="20% - Accent2 3 4 2 2 3 2" xfId="17339"/>
    <cellStyle name="20% - Accent2 3 4 2 2 4" xfId="13452"/>
    <cellStyle name="20% - Accent2 3 4 2 3" xfId="518"/>
    <cellStyle name="20% - Accent2 3 4 2 3 2" xfId="9525"/>
    <cellStyle name="20% - Accent2 3 4 2 3 2 2" xfId="17341"/>
    <cellStyle name="20% - Accent2 3 4 2 3 3" xfId="13454"/>
    <cellStyle name="20% - Accent2 3 4 2 4" xfId="9522"/>
    <cellStyle name="20% - Accent2 3 4 2 4 2" xfId="17338"/>
    <cellStyle name="20% - Accent2 3 4 2 5" xfId="13451"/>
    <cellStyle name="20% - Accent2 3 4 3" xfId="519"/>
    <cellStyle name="20% - Accent2 3 4 3 2" xfId="520"/>
    <cellStyle name="20% - Accent2 3 4 3 2 2" xfId="9527"/>
    <cellStyle name="20% - Accent2 3 4 3 2 2 2" xfId="17343"/>
    <cellStyle name="20% - Accent2 3 4 3 2 3" xfId="13456"/>
    <cellStyle name="20% - Accent2 3 4 3 3" xfId="9526"/>
    <cellStyle name="20% - Accent2 3 4 3 3 2" xfId="17342"/>
    <cellStyle name="20% - Accent2 3 4 3 4" xfId="13455"/>
    <cellStyle name="20% - Accent2 3 4 4" xfId="521"/>
    <cellStyle name="20% - Accent2 3 4 4 2" xfId="9528"/>
    <cellStyle name="20% - Accent2 3 4 4 2 2" xfId="17344"/>
    <cellStyle name="20% - Accent2 3 4 4 3" xfId="13457"/>
    <cellStyle name="20% - Accent2 3 4 5" xfId="9521"/>
    <cellStyle name="20% - Accent2 3 4 5 2" xfId="17337"/>
    <cellStyle name="20% - Accent2 3 4 6" xfId="13450"/>
    <cellStyle name="20% - Accent2 3 5" xfId="522"/>
    <cellStyle name="20% - Accent2 3 5 2" xfId="523"/>
    <cellStyle name="20% - Accent2 3 5 2 2" xfId="524"/>
    <cellStyle name="20% - Accent2 3 5 2 2 2" xfId="525"/>
    <cellStyle name="20% - Accent2 3 5 2 2 2 2" xfId="9532"/>
    <cellStyle name="20% - Accent2 3 5 2 2 2 2 2" xfId="17348"/>
    <cellStyle name="20% - Accent2 3 5 2 2 2 3" xfId="13461"/>
    <cellStyle name="20% - Accent2 3 5 2 2 3" xfId="9531"/>
    <cellStyle name="20% - Accent2 3 5 2 2 3 2" xfId="17347"/>
    <cellStyle name="20% - Accent2 3 5 2 2 4" xfId="13460"/>
    <cellStyle name="20% - Accent2 3 5 2 3" xfId="526"/>
    <cellStyle name="20% - Accent2 3 5 2 3 2" xfId="9533"/>
    <cellStyle name="20% - Accent2 3 5 2 3 2 2" xfId="17349"/>
    <cellStyle name="20% - Accent2 3 5 2 3 3" xfId="13462"/>
    <cellStyle name="20% - Accent2 3 5 2 4" xfId="9530"/>
    <cellStyle name="20% - Accent2 3 5 2 4 2" xfId="17346"/>
    <cellStyle name="20% - Accent2 3 5 2 5" xfId="13459"/>
    <cellStyle name="20% - Accent2 3 5 3" xfId="527"/>
    <cellStyle name="20% - Accent2 3 5 3 2" xfId="528"/>
    <cellStyle name="20% - Accent2 3 5 3 2 2" xfId="9535"/>
    <cellStyle name="20% - Accent2 3 5 3 2 2 2" xfId="17351"/>
    <cellStyle name="20% - Accent2 3 5 3 2 3" xfId="13464"/>
    <cellStyle name="20% - Accent2 3 5 3 3" xfId="9534"/>
    <cellStyle name="20% - Accent2 3 5 3 3 2" xfId="17350"/>
    <cellStyle name="20% - Accent2 3 5 3 4" xfId="13463"/>
    <cellStyle name="20% - Accent2 3 5 4" xfId="529"/>
    <cellStyle name="20% - Accent2 3 5 4 2" xfId="530"/>
    <cellStyle name="20% - Accent2 3 5 4 2 2" xfId="9537"/>
    <cellStyle name="20% - Accent2 3 5 4 2 2 2" xfId="17353"/>
    <cellStyle name="20% - Accent2 3 5 4 2 3" xfId="13466"/>
    <cellStyle name="20% - Accent2 3 5 4 3" xfId="9536"/>
    <cellStyle name="20% - Accent2 3 5 4 3 2" xfId="17352"/>
    <cellStyle name="20% - Accent2 3 5 4 4" xfId="13465"/>
    <cellStyle name="20% - Accent2 3 5 5" xfId="531"/>
    <cellStyle name="20% - Accent2 3 5 5 2" xfId="9538"/>
    <cellStyle name="20% - Accent2 3 5 5 2 2" xfId="17354"/>
    <cellStyle name="20% - Accent2 3 5 5 3" xfId="13467"/>
    <cellStyle name="20% - Accent2 3 5 6" xfId="9529"/>
    <cellStyle name="20% - Accent2 3 5 6 2" xfId="17345"/>
    <cellStyle name="20% - Accent2 3 5 7" xfId="13458"/>
    <cellStyle name="20% - Accent2 3 6" xfId="532"/>
    <cellStyle name="20% - Accent2 3 6 2" xfId="533"/>
    <cellStyle name="20% - Accent2 3 6 2 2" xfId="534"/>
    <cellStyle name="20% - Accent2 3 6 2 2 2" xfId="9541"/>
    <cellStyle name="20% - Accent2 3 6 2 2 2 2" xfId="17357"/>
    <cellStyle name="20% - Accent2 3 6 2 2 3" xfId="13470"/>
    <cellStyle name="20% - Accent2 3 6 2 3" xfId="9540"/>
    <cellStyle name="20% - Accent2 3 6 2 3 2" xfId="17356"/>
    <cellStyle name="20% - Accent2 3 6 2 4" xfId="13469"/>
    <cellStyle name="20% - Accent2 3 6 3" xfId="535"/>
    <cellStyle name="20% - Accent2 3 6 3 2" xfId="9542"/>
    <cellStyle name="20% - Accent2 3 6 3 2 2" xfId="17358"/>
    <cellStyle name="20% - Accent2 3 6 3 3" xfId="13471"/>
    <cellStyle name="20% - Accent2 3 6 4" xfId="9539"/>
    <cellStyle name="20% - Accent2 3 6 4 2" xfId="17355"/>
    <cellStyle name="20% - Accent2 3 6 5" xfId="13468"/>
    <cellStyle name="20% - Accent2 3 7" xfId="536"/>
    <cellStyle name="20% - Accent2 3 7 2" xfId="537"/>
    <cellStyle name="20% - Accent2 3 7 2 2" xfId="9544"/>
    <cellStyle name="20% - Accent2 3 7 2 2 2" xfId="17360"/>
    <cellStyle name="20% - Accent2 3 7 2 3" xfId="13473"/>
    <cellStyle name="20% - Accent2 3 7 3" xfId="9543"/>
    <cellStyle name="20% - Accent2 3 7 3 2" xfId="17359"/>
    <cellStyle name="20% - Accent2 3 7 4" xfId="13472"/>
    <cellStyle name="20% - Accent2 3 8" xfId="538"/>
    <cellStyle name="20% - Accent2 3 8 2" xfId="9545"/>
    <cellStyle name="20% - Accent2 3 8 2 2" xfId="17361"/>
    <cellStyle name="20% - Accent2 3 8 3" xfId="13474"/>
    <cellStyle name="20% - Accent2 3 9" xfId="539"/>
    <cellStyle name="20% - Accent2 3 9 2" xfId="9546"/>
    <cellStyle name="20% - Accent2 3 9 2 2" xfId="17362"/>
    <cellStyle name="20% - Accent2 3 9 3" xfId="13475"/>
    <cellStyle name="20% - Accent2 4" xfId="540"/>
    <cellStyle name="20% - Accent2 4 2" xfId="541"/>
    <cellStyle name="20% - Accent2 4 2 2" xfId="542"/>
    <cellStyle name="20% - Accent2 4 2 2 2" xfId="543"/>
    <cellStyle name="20% - Accent2 4 2 2 2 2" xfId="544"/>
    <cellStyle name="20% - Accent2 4 2 2 2 2 2" xfId="9551"/>
    <cellStyle name="20% - Accent2 4 2 2 2 2 2 2" xfId="17367"/>
    <cellStyle name="20% - Accent2 4 2 2 2 2 3" xfId="13480"/>
    <cellStyle name="20% - Accent2 4 2 2 2 3" xfId="9550"/>
    <cellStyle name="20% - Accent2 4 2 2 2 3 2" xfId="17366"/>
    <cellStyle name="20% - Accent2 4 2 2 2 4" xfId="13479"/>
    <cellStyle name="20% - Accent2 4 2 2 3" xfId="545"/>
    <cellStyle name="20% - Accent2 4 2 2 3 2" xfId="546"/>
    <cellStyle name="20% - Accent2 4 2 2 3 2 2" xfId="9553"/>
    <cellStyle name="20% - Accent2 4 2 2 3 2 2 2" xfId="17369"/>
    <cellStyle name="20% - Accent2 4 2 2 3 2 3" xfId="13482"/>
    <cellStyle name="20% - Accent2 4 2 2 3 3" xfId="9552"/>
    <cellStyle name="20% - Accent2 4 2 2 3 3 2" xfId="17368"/>
    <cellStyle name="20% - Accent2 4 2 2 3 4" xfId="13481"/>
    <cellStyle name="20% - Accent2 4 2 2 4" xfId="547"/>
    <cellStyle name="20% - Accent2 4 2 2 4 2" xfId="9554"/>
    <cellStyle name="20% - Accent2 4 2 2 4 2 2" xfId="17370"/>
    <cellStyle name="20% - Accent2 4 2 2 4 3" xfId="13483"/>
    <cellStyle name="20% - Accent2 4 2 2 5" xfId="9549"/>
    <cellStyle name="20% - Accent2 4 2 2 5 2" xfId="17365"/>
    <cellStyle name="20% - Accent2 4 2 2 6" xfId="13478"/>
    <cellStyle name="20% - Accent2 4 2 3" xfId="548"/>
    <cellStyle name="20% - Accent2 4 2 3 2" xfId="549"/>
    <cellStyle name="20% - Accent2 4 2 3 2 2" xfId="550"/>
    <cellStyle name="20% - Accent2 4 2 3 2 2 2" xfId="9557"/>
    <cellStyle name="20% - Accent2 4 2 3 2 2 2 2" xfId="17373"/>
    <cellStyle name="20% - Accent2 4 2 3 2 2 3" xfId="13486"/>
    <cellStyle name="20% - Accent2 4 2 3 2 3" xfId="9556"/>
    <cellStyle name="20% - Accent2 4 2 3 2 3 2" xfId="17372"/>
    <cellStyle name="20% - Accent2 4 2 3 2 4" xfId="13485"/>
    <cellStyle name="20% - Accent2 4 2 3 3" xfId="551"/>
    <cellStyle name="20% - Accent2 4 2 3 3 2" xfId="9558"/>
    <cellStyle name="20% - Accent2 4 2 3 3 2 2" xfId="17374"/>
    <cellStyle name="20% - Accent2 4 2 3 3 3" xfId="13487"/>
    <cellStyle name="20% - Accent2 4 2 3 4" xfId="9555"/>
    <cellStyle name="20% - Accent2 4 2 3 4 2" xfId="17371"/>
    <cellStyle name="20% - Accent2 4 2 3 5" xfId="13484"/>
    <cellStyle name="20% - Accent2 4 2 4" xfId="552"/>
    <cellStyle name="20% - Accent2 4 2 4 2" xfId="553"/>
    <cellStyle name="20% - Accent2 4 2 4 2 2" xfId="9560"/>
    <cellStyle name="20% - Accent2 4 2 4 2 2 2" xfId="17376"/>
    <cellStyle name="20% - Accent2 4 2 4 2 3" xfId="13489"/>
    <cellStyle name="20% - Accent2 4 2 4 3" xfId="9559"/>
    <cellStyle name="20% - Accent2 4 2 4 3 2" xfId="17375"/>
    <cellStyle name="20% - Accent2 4 2 4 4" xfId="13488"/>
    <cellStyle name="20% - Accent2 4 2 5" xfId="554"/>
    <cellStyle name="20% - Accent2 4 2 5 2" xfId="9561"/>
    <cellStyle name="20% - Accent2 4 2 5 2 2" xfId="17377"/>
    <cellStyle name="20% - Accent2 4 2 5 3" xfId="13490"/>
    <cellStyle name="20% - Accent2 4 2 6" xfId="9548"/>
    <cellStyle name="20% - Accent2 4 2 6 2" xfId="17364"/>
    <cellStyle name="20% - Accent2 4 2 7" xfId="13477"/>
    <cellStyle name="20% - Accent2 4 3" xfId="555"/>
    <cellStyle name="20% - Accent2 4 3 2" xfId="556"/>
    <cellStyle name="20% - Accent2 4 3 2 2" xfId="557"/>
    <cellStyle name="20% - Accent2 4 3 2 2 2" xfId="558"/>
    <cellStyle name="20% - Accent2 4 3 2 2 2 2" xfId="9565"/>
    <cellStyle name="20% - Accent2 4 3 2 2 2 2 2" xfId="17381"/>
    <cellStyle name="20% - Accent2 4 3 2 2 2 3" xfId="13494"/>
    <cellStyle name="20% - Accent2 4 3 2 2 3" xfId="9564"/>
    <cellStyle name="20% - Accent2 4 3 2 2 3 2" xfId="17380"/>
    <cellStyle name="20% - Accent2 4 3 2 2 4" xfId="13493"/>
    <cellStyle name="20% - Accent2 4 3 2 3" xfId="559"/>
    <cellStyle name="20% - Accent2 4 3 2 3 2" xfId="9566"/>
    <cellStyle name="20% - Accent2 4 3 2 3 2 2" xfId="17382"/>
    <cellStyle name="20% - Accent2 4 3 2 3 3" xfId="13495"/>
    <cellStyle name="20% - Accent2 4 3 2 4" xfId="9563"/>
    <cellStyle name="20% - Accent2 4 3 2 4 2" xfId="17379"/>
    <cellStyle name="20% - Accent2 4 3 2 5" xfId="13492"/>
    <cellStyle name="20% - Accent2 4 3 3" xfId="560"/>
    <cellStyle name="20% - Accent2 4 3 3 2" xfId="561"/>
    <cellStyle name="20% - Accent2 4 3 3 2 2" xfId="9568"/>
    <cellStyle name="20% - Accent2 4 3 3 2 2 2" xfId="17384"/>
    <cellStyle name="20% - Accent2 4 3 3 2 3" xfId="13497"/>
    <cellStyle name="20% - Accent2 4 3 3 3" xfId="9567"/>
    <cellStyle name="20% - Accent2 4 3 3 3 2" xfId="17383"/>
    <cellStyle name="20% - Accent2 4 3 3 4" xfId="13496"/>
    <cellStyle name="20% - Accent2 4 3 4" xfId="562"/>
    <cellStyle name="20% - Accent2 4 3 4 2" xfId="563"/>
    <cellStyle name="20% - Accent2 4 3 4 2 2" xfId="9570"/>
    <cellStyle name="20% - Accent2 4 3 4 2 2 2" xfId="17386"/>
    <cellStyle name="20% - Accent2 4 3 4 2 3" xfId="13499"/>
    <cellStyle name="20% - Accent2 4 3 4 3" xfId="9569"/>
    <cellStyle name="20% - Accent2 4 3 4 3 2" xfId="17385"/>
    <cellStyle name="20% - Accent2 4 3 4 4" xfId="13498"/>
    <cellStyle name="20% - Accent2 4 3 5" xfId="564"/>
    <cellStyle name="20% - Accent2 4 3 5 2" xfId="9571"/>
    <cellStyle name="20% - Accent2 4 3 5 2 2" xfId="17387"/>
    <cellStyle name="20% - Accent2 4 3 5 3" xfId="13500"/>
    <cellStyle name="20% - Accent2 4 3 6" xfId="9562"/>
    <cellStyle name="20% - Accent2 4 3 6 2" xfId="17378"/>
    <cellStyle name="20% - Accent2 4 3 7" xfId="13491"/>
    <cellStyle name="20% - Accent2 4 4" xfId="565"/>
    <cellStyle name="20% - Accent2 4 4 2" xfId="566"/>
    <cellStyle name="20% - Accent2 4 4 2 2" xfId="567"/>
    <cellStyle name="20% - Accent2 4 4 2 2 2" xfId="9574"/>
    <cellStyle name="20% - Accent2 4 4 2 2 2 2" xfId="17390"/>
    <cellStyle name="20% - Accent2 4 4 2 2 3" xfId="13503"/>
    <cellStyle name="20% - Accent2 4 4 2 3" xfId="9573"/>
    <cellStyle name="20% - Accent2 4 4 2 3 2" xfId="17389"/>
    <cellStyle name="20% - Accent2 4 4 2 4" xfId="13502"/>
    <cellStyle name="20% - Accent2 4 4 3" xfId="568"/>
    <cellStyle name="20% - Accent2 4 4 3 2" xfId="9575"/>
    <cellStyle name="20% - Accent2 4 4 3 2 2" xfId="17391"/>
    <cellStyle name="20% - Accent2 4 4 3 3" xfId="13504"/>
    <cellStyle name="20% - Accent2 4 4 4" xfId="9572"/>
    <cellStyle name="20% - Accent2 4 4 4 2" xfId="17388"/>
    <cellStyle name="20% - Accent2 4 4 5" xfId="13501"/>
    <cellStyle name="20% - Accent2 4 5" xfId="569"/>
    <cellStyle name="20% - Accent2 4 5 2" xfId="570"/>
    <cellStyle name="20% - Accent2 4 5 2 2" xfId="9577"/>
    <cellStyle name="20% - Accent2 4 5 2 2 2" xfId="17393"/>
    <cellStyle name="20% - Accent2 4 5 2 3" xfId="13506"/>
    <cellStyle name="20% - Accent2 4 5 3" xfId="9576"/>
    <cellStyle name="20% - Accent2 4 5 3 2" xfId="17392"/>
    <cellStyle name="20% - Accent2 4 5 4" xfId="13505"/>
    <cellStyle name="20% - Accent2 4 6" xfId="571"/>
    <cellStyle name="20% - Accent2 4 6 2" xfId="9578"/>
    <cellStyle name="20% - Accent2 4 6 2 2" xfId="17394"/>
    <cellStyle name="20% - Accent2 4 6 3" xfId="13507"/>
    <cellStyle name="20% - Accent2 4 7" xfId="9547"/>
    <cellStyle name="20% - Accent2 4 7 2" xfId="17363"/>
    <cellStyle name="20% - Accent2 4 8" xfId="13476"/>
    <cellStyle name="20% - Accent2 5" xfId="572"/>
    <cellStyle name="20% - Accent2 5 2" xfId="573"/>
    <cellStyle name="20% - Accent2 5 2 2" xfId="574"/>
    <cellStyle name="20% - Accent2 5 2 2 2" xfId="575"/>
    <cellStyle name="20% - Accent2 5 2 2 2 2" xfId="9582"/>
    <cellStyle name="20% - Accent2 5 2 2 2 2 2" xfId="17398"/>
    <cellStyle name="20% - Accent2 5 2 2 2 3" xfId="13511"/>
    <cellStyle name="20% - Accent2 5 2 2 3" xfId="9581"/>
    <cellStyle name="20% - Accent2 5 2 2 3 2" xfId="17397"/>
    <cellStyle name="20% - Accent2 5 2 2 4" xfId="13510"/>
    <cellStyle name="20% - Accent2 5 2 3" xfId="576"/>
    <cellStyle name="20% - Accent2 5 2 3 2" xfId="577"/>
    <cellStyle name="20% - Accent2 5 2 3 2 2" xfId="9584"/>
    <cellStyle name="20% - Accent2 5 2 3 2 2 2" xfId="17400"/>
    <cellStyle name="20% - Accent2 5 2 3 2 3" xfId="13513"/>
    <cellStyle name="20% - Accent2 5 2 3 3" xfId="9583"/>
    <cellStyle name="20% - Accent2 5 2 3 3 2" xfId="17399"/>
    <cellStyle name="20% - Accent2 5 2 3 4" xfId="13512"/>
    <cellStyle name="20% - Accent2 5 2 4" xfId="578"/>
    <cellStyle name="20% - Accent2 5 2 4 2" xfId="9585"/>
    <cellStyle name="20% - Accent2 5 2 4 2 2" xfId="17401"/>
    <cellStyle name="20% - Accent2 5 2 4 3" xfId="13514"/>
    <cellStyle name="20% - Accent2 5 2 5" xfId="9580"/>
    <cellStyle name="20% - Accent2 5 2 5 2" xfId="17396"/>
    <cellStyle name="20% - Accent2 5 2 6" xfId="13509"/>
    <cellStyle name="20% - Accent2 5 3" xfId="579"/>
    <cellStyle name="20% - Accent2 5 3 2" xfId="580"/>
    <cellStyle name="20% - Accent2 5 3 2 2" xfId="581"/>
    <cellStyle name="20% - Accent2 5 3 2 2 2" xfId="9588"/>
    <cellStyle name="20% - Accent2 5 3 2 2 2 2" xfId="17404"/>
    <cellStyle name="20% - Accent2 5 3 2 2 3" xfId="13517"/>
    <cellStyle name="20% - Accent2 5 3 2 3" xfId="9587"/>
    <cellStyle name="20% - Accent2 5 3 2 3 2" xfId="17403"/>
    <cellStyle name="20% - Accent2 5 3 2 4" xfId="13516"/>
    <cellStyle name="20% - Accent2 5 3 3" xfId="582"/>
    <cellStyle name="20% - Accent2 5 3 3 2" xfId="9589"/>
    <cellStyle name="20% - Accent2 5 3 3 2 2" xfId="17405"/>
    <cellStyle name="20% - Accent2 5 3 3 3" xfId="13518"/>
    <cellStyle name="20% - Accent2 5 3 4" xfId="9586"/>
    <cellStyle name="20% - Accent2 5 3 4 2" xfId="17402"/>
    <cellStyle name="20% - Accent2 5 3 5" xfId="13515"/>
    <cellStyle name="20% - Accent2 5 4" xfId="583"/>
    <cellStyle name="20% - Accent2 5 4 2" xfId="584"/>
    <cellStyle name="20% - Accent2 5 4 2 2" xfId="9591"/>
    <cellStyle name="20% - Accent2 5 4 2 2 2" xfId="17407"/>
    <cellStyle name="20% - Accent2 5 4 2 3" xfId="13520"/>
    <cellStyle name="20% - Accent2 5 4 3" xfId="9590"/>
    <cellStyle name="20% - Accent2 5 4 3 2" xfId="17406"/>
    <cellStyle name="20% - Accent2 5 4 4" xfId="13519"/>
    <cellStyle name="20% - Accent2 5 5" xfId="585"/>
    <cellStyle name="20% - Accent2 5 5 2" xfId="9592"/>
    <cellStyle name="20% - Accent2 5 5 2 2" xfId="17408"/>
    <cellStyle name="20% - Accent2 5 5 3" xfId="13521"/>
    <cellStyle name="20% - Accent2 5 6" xfId="9579"/>
    <cellStyle name="20% - Accent2 5 6 2" xfId="17395"/>
    <cellStyle name="20% - Accent2 5 7" xfId="13508"/>
    <cellStyle name="20% - Accent2 6" xfId="586"/>
    <cellStyle name="20% - Accent2 6 2" xfId="587"/>
    <cellStyle name="20% - Accent2 6 2 2" xfId="588"/>
    <cellStyle name="20% - Accent2 6 2 2 2" xfId="589"/>
    <cellStyle name="20% - Accent2 6 2 2 2 2" xfId="9596"/>
    <cellStyle name="20% - Accent2 6 2 2 2 2 2" xfId="17412"/>
    <cellStyle name="20% - Accent2 6 2 2 2 3" xfId="13525"/>
    <cellStyle name="20% - Accent2 6 2 2 3" xfId="9595"/>
    <cellStyle name="20% - Accent2 6 2 2 3 2" xfId="17411"/>
    <cellStyle name="20% - Accent2 6 2 2 4" xfId="13524"/>
    <cellStyle name="20% - Accent2 6 2 3" xfId="590"/>
    <cellStyle name="20% - Accent2 6 2 3 2" xfId="9597"/>
    <cellStyle name="20% - Accent2 6 2 3 2 2" xfId="17413"/>
    <cellStyle name="20% - Accent2 6 2 3 3" xfId="13526"/>
    <cellStyle name="20% - Accent2 6 2 4" xfId="9594"/>
    <cellStyle name="20% - Accent2 6 2 4 2" xfId="17410"/>
    <cellStyle name="20% - Accent2 6 2 5" xfId="13523"/>
    <cellStyle name="20% - Accent2 6 3" xfId="591"/>
    <cellStyle name="20% - Accent2 6 3 2" xfId="592"/>
    <cellStyle name="20% - Accent2 6 3 2 2" xfId="9599"/>
    <cellStyle name="20% - Accent2 6 3 2 2 2" xfId="17415"/>
    <cellStyle name="20% - Accent2 6 3 2 3" xfId="13528"/>
    <cellStyle name="20% - Accent2 6 3 3" xfId="9598"/>
    <cellStyle name="20% - Accent2 6 3 3 2" xfId="17414"/>
    <cellStyle name="20% - Accent2 6 3 4" xfId="13527"/>
    <cellStyle name="20% - Accent2 6 4" xfId="593"/>
    <cellStyle name="20% - Accent2 6 4 2" xfId="9600"/>
    <cellStyle name="20% - Accent2 6 4 2 2" xfId="17416"/>
    <cellStyle name="20% - Accent2 6 4 3" xfId="13529"/>
    <cellStyle name="20% - Accent2 6 5" xfId="9593"/>
    <cellStyle name="20% - Accent2 6 5 2" xfId="17409"/>
    <cellStyle name="20% - Accent2 6 6" xfId="13522"/>
    <cellStyle name="20% - Accent2 7" xfId="594"/>
    <cellStyle name="20% - Accent2 7 2" xfId="595"/>
    <cellStyle name="20% - Accent2 7 2 2" xfId="596"/>
    <cellStyle name="20% - Accent2 7 2 2 2" xfId="597"/>
    <cellStyle name="20% - Accent2 7 2 2 2 2" xfId="9604"/>
    <cellStyle name="20% - Accent2 7 2 2 2 2 2" xfId="17420"/>
    <cellStyle name="20% - Accent2 7 2 2 2 3" xfId="13533"/>
    <cellStyle name="20% - Accent2 7 2 2 3" xfId="9603"/>
    <cellStyle name="20% - Accent2 7 2 2 3 2" xfId="17419"/>
    <cellStyle name="20% - Accent2 7 2 2 4" xfId="13532"/>
    <cellStyle name="20% - Accent2 7 2 3" xfId="598"/>
    <cellStyle name="20% - Accent2 7 2 3 2" xfId="9605"/>
    <cellStyle name="20% - Accent2 7 2 3 2 2" xfId="17421"/>
    <cellStyle name="20% - Accent2 7 2 3 3" xfId="13534"/>
    <cellStyle name="20% - Accent2 7 2 4" xfId="9602"/>
    <cellStyle name="20% - Accent2 7 2 4 2" xfId="17418"/>
    <cellStyle name="20% - Accent2 7 2 5" xfId="13531"/>
    <cellStyle name="20% - Accent2 7 3" xfId="599"/>
    <cellStyle name="20% - Accent2 7 3 2" xfId="600"/>
    <cellStyle name="20% - Accent2 7 3 2 2" xfId="9607"/>
    <cellStyle name="20% - Accent2 7 3 2 2 2" xfId="17423"/>
    <cellStyle name="20% - Accent2 7 3 2 3" xfId="13536"/>
    <cellStyle name="20% - Accent2 7 3 3" xfId="9606"/>
    <cellStyle name="20% - Accent2 7 3 3 2" xfId="17422"/>
    <cellStyle name="20% - Accent2 7 3 4" xfId="13535"/>
    <cellStyle name="20% - Accent2 7 4" xfId="601"/>
    <cellStyle name="20% - Accent2 7 4 2" xfId="9608"/>
    <cellStyle name="20% - Accent2 7 4 2 2" xfId="17424"/>
    <cellStyle name="20% - Accent2 7 4 3" xfId="13537"/>
    <cellStyle name="20% - Accent2 7 5" xfId="9601"/>
    <cellStyle name="20% - Accent2 7 5 2" xfId="17417"/>
    <cellStyle name="20% - Accent2 7 6" xfId="13530"/>
    <cellStyle name="20% - Accent2 8" xfId="602"/>
    <cellStyle name="20% - Accent2 8 2" xfId="603"/>
    <cellStyle name="20% - Accent2 8 2 2" xfId="604"/>
    <cellStyle name="20% - Accent2 8 2 2 2" xfId="9611"/>
    <cellStyle name="20% - Accent2 8 2 2 2 2" xfId="17427"/>
    <cellStyle name="20% - Accent2 8 2 2 3" xfId="13540"/>
    <cellStyle name="20% - Accent2 8 2 3" xfId="9610"/>
    <cellStyle name="20% - Accent2 8 2 3 2" xfId="17426"/>
    <cellStyle name="20% - Accent2 8 2 4" xfId="13539"/>
    <cellStyle name="20% - Accent2 8 3" xfId="605"/>
    <cellStyle name="20% - Accent2 8 3 2" xfId="9612"/>
    <cellStyle name="20% - Accent2 8 3 2 2" xfId="17428"/>
    <cellStyle name="20% - Accent2 8 3 3" xfId="13541"/>
    <cellStyle name="20% - Accent2 8 4" xfId="9609"/>
    <cellStyle name="20% - Accent2 8 4 2" xfId="17425"/>
    <cellStyle name="20% - Accent2 8 5" xfId="13538"/>
    <cellStyle name="20% - Accent2 9" xfId="606"/>
    <cellStyle name="20% - Accent2 9 2" xfId="607"/>
    <cellStyle name="20% - Accent2 9 2 2" xfId="9614"/>
    <cellStyle name="20% - Accent2 9 2 2 2" xfId="17430"/>
    <cellStyle name="20% - Accent2 9 2 3" xfId="13543"/>
    <cellStyle name="20% - Accent2 9 3" xfId="9613"/>
    <cellStyle name="20% - Accent2 9 3 2" xfId="17429"/>
    <cellStyle name="20% - Accent2 9 4" xfId="13542"/>
    <cellStyle name="20% - Accent3 10" xfId="608"/>
    <cellStyle name="20% - Accent3 10 2" xfId="609"/>
    <cellStyle name="20% - Accent3 10 2 2" xfId="9616"/>
    <cellStyle name="20% - Accent3 10 2 2 2" xfId="17432"/>
    <cellStyle name="20% - Accent3 10 2 3" xfId="13545"/>
    <cellStyle name="20% - Accent3 10 3" xfId="9615"/>
    <cellStyle name="20% - Accent3 10 3 2" xfId="17431"/>
    <cellStyle name="20% - Accent3 10 4" xfId="13544"/>
    <cellStyle name="20% - Accent3 11" xfId="610"/>
    <cellStyle name="20% - Accent3 11 2" xfId="9617"/>
    <cellStyle name="20% - Accent3 11 2 2" xfId="17433"/>
    <cellStyle name="20% - Accent3 11 3" xfId="13546"/>
    <cellStyle name="20% - Accent3 12" xfId="611"/>
    <cellStyle name="20% - Accent3 12 2" xfId="9618"/>
    <cellStyle name="20% - Accent3 12 2 2" xfId="17434"/>
    <cellStyle name="20% - Accent3 12 3" xfId="13547"/>
    <cellStyle name="20% - Accent3 2" xfId="612"/>
    <cellStyle name="20% - Accent3 2 10" xfId="613"/>
    <cellStyle name="20% - Accent3 2 10 2" xfId="9620"/>
    <cellStyle name="20% - Accent3 2 10 2 2" xfId="17436"/>
    <cellStyle name="20% - Accent3 2 10 3" xfId="13549"/>
    <cellStyle name="20% - Accent3 2 11" xfId="9619"/>
    <cellStyle name="20% - Accent3 2 11 2" xfId="17435"/>
    <cellStyle name="20% - Accent3 2 12" xfId="12943"/>
    <cellStyle name="20% - Accent3 2 13" xfId="13548"/>
    <cellStyle name="20% - Accent3 2 2" xfId="614"/>
    <cellStyle name="20% - Accent3 2 2 10" xfId="13550"/>
    <cellStyle name="20% - Accent3 2 2 2" xfId="615"/>
    <cellStyle name="20% - Accent3 2 2 2 2" xfId="616"/>
    <cellStyle name="20% - Accent3 2 2 2 2 2" xfId="617"/>
    <cellStyle name="20% - Accent3 2 2 2 2 2 2" xfId="618"/>
    <cellStyle name="20% - Accent3 2 2 2 2 2 2 2" xfId="619"/>
    <cellStyle name="20% - Accent3 2 2 2 2 2 2 2 2" xfId="9626"/>
    <cellStyle name="20% - Accent3 2 2 2 2 2 2 2 2 2" xfId="17442"/>
    <cellStyle name="20% - Accent3 2 2 2 2 2 2 2 3" xfId="13555"/>
    <cellStyle name="20% - Accent3 2 2 2 2 2 2 3" xfId="9625"/>
    <cellStyle name="20% - Accent3 2 2 2 2 2 2 3 2" xfId="17441"/>
    <cellStyle name="20% - Accent3 2 2 2 2 2 2 4" xfId="13554"/>
    <cellStyle name="20% - Accent3 2 2 2 2 2 3" xfId="620"/>
    <cellStyle name="20% - Accent3 2 2 2 2 2 3 2" xfId="621"/>
    <cellStyle name="20% - Accent3 2 2 2 2 2 3 2 2" xfId="9628"/>
    <cellStyle name="20% - Accent3 2 2 2 2 2 3 2 2 2" xfId="17444"/>
    <cellStyle name="20% - Accent3 2 2 2 2 2 3 2 3" xfId="13557"/>
    <cellStyle name="20% - Accent3 2 2 2 2 2 3 3" xfId="9627"/>
    <cellStyle name="20% - Accent3 2 2 2 2 2 3 3 2" xfId="17443"/>
    <cellStyle name="20% - Accent3 2 2 2 2 2 3 4" xfId="13556"/>
    <cellStyle name="20% - Accent3 2 2 2 2 2 4" xfId="622"/>
    <cellStyle name="20% - Accent3 2 2 2 2 2 4 2" xfId="9629"/>
    <cellStyle name="20% - Accent3 2 2 2 2 2 4 2 2" xfId="17445"/>
    <cellStyle name="20% - Accent3 2 2 2 2 2 4 3" xfId="13558"/>
    <cellStyle name="20% - Accent3 2 2 2 2 2 5" xfId="9624"/>
    <cellStyle name="20% - Accent3 2 2 2 2 2 5 2" xfId="17440"/>
    <cellStyle name="20% - Accent3 2 2 2 2 2 6" xfId="13553"/>
    <cellStyle name="20% - Accent3 2 2 2 2 3" xfId="623"/>
    <cellStyle name="20% - Accent3 2 2 2 2 3 2" xfId="624"/>
    <cellStyle name="20% - Accent3 2 2 2 2 3 2 2" xfId="625"/>
    <cellStyle name="20% - Accent3 2 2 2 2 3 2 2 2" xfId="9632"/>
    <cellStyle name="20% - Accent3 2 2 2 2 3 2 2 2 2" xfId="17448"/>
    <cellStyle name="20% - Accent3 2 2 2 2 3 2 2 3" xfId="13561"/>
    <cellStyle name="20% - Accent3 2 2 2 2 3 2 3" xfId="9631"/>
    <cellStyle name="20% - Accent3 2 2 2 2 3 2 3 2" xfId="17447"/>
    <cellStyle name="20% - Accent3 2 2 2 2 3 2 4" xfId="13560"/>
    <cellStyle name="20% - Accent3 2 2 2 2 3 3" xfId="626"/>
    <cellStyle name="20% - Accent3 2 2 2 2 3 3 2" xfId="9633"/>
    <cellStyle name="20% - Accent3 2 2 2 2 3 3 2 2" xfId="17449"/>
    <cellStyle name="20% - Accent3 2 2 2 2 3 3 3" xfId="13562"/>
    <cellStyle name="20% - Accent3 2 2 2 2 3 4" xfId="9630"/>
    <cellStyle name="20% - Accent3 2 2 2 2 3 4 2" xfId="17446"/>
    <cellStyle name="20% - Accent3 2 2 2 2 3 5" xfId="13559"/>
    <cellStyle name="20% - Accent3 2 2 2 2 4" xfId="627"/>
    <cellStyle name="20% - Accent3 2 2 2 2 4 2" xfId="628"/>
    <cellStyle name="20% - Accent3 2 2 2 2 4 2 2" xfId="9635"/>
    <cellStyle name="20% - Accent3 2 2 2 2 4 2 2 2" xfId="17451"/>
    <cellStyle name="20% - Accent3 2 2 2 2 4 2 3" xfId="13564"/>
    <cellStyle name="20% - Accent3 2 2 2 2 4 3" xfId="9634"/>
    <cellStyle name="20% - Accent3 2 2 2 2 4 3 2" xfId="17450"/>
    <cellStyle name="20% - Accent3 2 2 2 2 4 4" xfId="13563"/>
    <cellStyle name="20% - Accent3 2 2 2 2 5" xfId="629"/>
    <cellStyle name="20% - Accent3 2 2 2 2 5 2" xfId="9636"/>
    <cellStyle name="20% - Accent3 2 2 2 2 5 2 2" xfId="17452"/>
    <cellStyle name="20% - Accent3 2 2 2 2 5 3" xfId="13565"/>
    <cellStyle name="20% - Accent3 2 2 2 2 6" xfId="9623"/>
    <cellStyle name="20% - Accent3 2 2 2 2 6 2" xfId="17439"/>
    <cellStyle name="20% - Accent3 2 2 2 2 7" xfId="13552"/>
    <cellStyle name="20% - Accent3 2 2 2 3" xfId="630"/>
    <cellStyle name="20% - Accent3 2 2 2 3 2" xfId="631"/>
    <cellStyle name="20% - Accent3 2 2 2 3 2 2" xfId="632"/>
    <cellStyle name="20% - Accent3 2 2 2 3 2 2 2" xfId="633"/>
    <cellStyle name="20% - Accent3 2 2 2 3 2 2 2 2" xfId="9640"/>
    <cellStyle name="20% - Accent3 2 2 2 3 2 2 2 2 2" xfId="17456"/>
    <cellStyle name="20% - Accent3 2 2 2 3 2 2 2 3" xfId="13569"/>
    <cellStyle name="20% - Accent3 2 2 2 3 2 2 3" xfId="9639"/>
    <cellStyle name="20% - Accent3 2 2 2 3 2 2 3 2" xfId="17455"/>
    <cellStyle name="20% - Accent3 2 2 2 3 2 2 4" xfId="13568"/>
    <cellStyle name="20% - Accent3 2 2 2 3 2 3" xfId="634"/>
    <cellStyle name="20% - Accent3 2 2 2 3 2 3 2" xfId="9641"/>
    <cellStyle name="20% - Accent3 2 2 2 3 2 3 2 2" xfId="17457"/>
    <cellStyle name="20% - Accent3 2 2 2 3 2 3 3" xfId="13570"/>
    <cellStyle name="20% - Accent3 2 2 2 3 2 4" xfId="9638"/>
    <cellStyle name="20% - Accent3 2 2 2 3 2 4 2" xfId="17454"/>
    <cellStyle name="20% - Accent3 2 2 2 3 2 5" xfId="13567"/>
    <cellStyle name="20% - Accent3 2 2 2 3 3" xfId="635"/>
    <cellStyle name="20% - Accent3 2 2 2 3 3 2" xfId="636"/>
    <cellStyle name="20% - Accent3 2 2 2 3 3 2 2" xfId="9643"/>
    <cellStyle name="20% - Accent3 2 2 2 3 3 2 2 2" xfId="17459"/>
    <cellStyle name="20% - Accent3 2 2 2 3 3 2 3" xfId="13572"/>
    <cellStyle name="20% - Accent3 2 2 2 3 3 3" xfId="9642"/>
    <cellStyle name="20% - Accent3 2 2 2 3 3 3 2" xfId="17458"/>
    <cellStyle name="20% - Accent3 2 2 2 3 3 4" xfId="13571"/>
    <cellStyle name="20% - Accent3 2 2 2 3 4" xfId="637"/>
    <cellStyle name="20% - Accent3 2 2 2 3 4 2" xfId="638"/>
    <cellStyle name="20% - Accent3 2 2 2 3 4 2 2" xfId="9645"/>
    <cellStyle name="20% - Accent3 2 2 2 3 4 2 2 2" xfId="17461"/>
    <cellStyle name="20% - Accent3 2 2 2 3 4 2 3" xfId="13574"/>
    <cellStyle name="20% - Accent3 2 2 2 3 4 3" xfId="9644"/>
    <cellStyle name="20% - Accent3 2 2 2 3 4 3 2" xfId="17460"/>
    <cellStyle name="20% - Accent3 2 2 2 3 4 4" xfId="13573"/>
    <cellStyle name="20% - Accent3 2 2 2 3 5" xfId="639"/>
    <cellStyle name="20% - Accent3 2 2 2 3 5 2" xfId="9646"/>
    <cellStyle name="20% - Accent3 2 2 2 3 5 2 2" xfId="17462"/>
    <cellStyle name="20% - Accent3 2 2 2 3 5 3" xfId="13575"/>
    <cellStyle name="20% - Accent3 2 2 2 3 6" xfId="9637"/>
    <cellStyle name="20% - Accent3 2 2 2 3 6 2" xfId="17453"/>
    <cellStyle name="20% - Accent3 2 2 2 3 7" xfId="13566"/>
    <cellStyle name="20% - Accent3 2 2 2 4" xfId="640"/>
    <cellStyle name="20% - Accent3 2 2 2 4 2" xfId="641"/>
    <cellStyle name="20% - Accent3 2 2 2 4 2 2" xfId="642"/>
    <cellStyle name="20% - Accent3 2 2 2 4 2 2 2" xfId="9649"/>
    <cellStyle name="20% - Accent3 2 2 2 4 2 2 2 2" xfId="17465"/>
    <cellStyle name="20% - Accent3 2 2 2 4 2 2 3" xfId="13578"/>
    <cellStyle name="20% - Accent3 2 2 2 4 2 3" xfId="9648"/>
    <cellStyle name="20% - Accent3 2 2 2 4 2 3 2" xfId="17464"/>
    <cellStyle name="20% - Accent3 2 2 2 4 2 4" xfId="13577"/>
    <cellStyle name="20% - Accent3 2 2 2 4 3" xfId="643"/>
    <cellStyle name="20% - Accent3 2 2 2 4 3 2" xfId="9650"/>
    <cellStyle name="20% - Accent3 2 2 2 4 3 2 2" xfId="17466"/>
    <cellStyle name="20% - Accent3 2 2 2 4 3 3" xfId="13579"/>
    <cellStyle name="20% - Accent3 2 2 2 4 4" xfId="9647"/>
    <cellStyle name="20% - Accent3 2 2 2 4 4 2" xfId="17463"/>
    <cellStyle name="20% - Accent3 2 2 2 4 5" xfId="13576"/>
    <cellStyle name="20% - Accent3 2 2 2 5" xfId="644"/>
    <cellStyle name="20% - Accent3 2 2 2 5 2" xfId="645"/>
    <cellStyle name="20% - Accent3 2 2 2 5 2 2" xfId="9652"/>
    <cellStyle name="20% - Accent3 2 2 2 5 2 2 2" xfId="17468"/>
    <cellStyle name="20% - Accent3 2 2 2 5 2 3" xfId="13581"/>
    <cellStyle name="20% - Accent3 2 2 2 5 3" xfId="9651"/>
    <cellStyle name="20% - Accent3 2 2 2 5 3 2" xfId="17467"/>
    <cellStyle name="20% - Accent3 2 2 2 5 4" xfId="13580"/>
    <cellStyle name="20% - Accent3 2 2 2 6" xfId="646"/>
    <cellStyle name="20% - Accent3 2 2 2 6 2" xfId="9653"/>
    <cellStyle name="20% - Accent3 2 2 2 6 2 2" xfId="17469"/>
    <cellStyle name="20% - Accent3 2 2 2 6 3" xfId="13582"/>
    <cellStyle name="20% - Accent3 2 2 2 7" xfId="9622"/>
    <cellStyle name="20% - Accent3 2 2 2 7 2" xfId="17438"/>
    <cellStyle name="20% - Accent3 2 2 2 8" xfId="13551"/>
    <cellStyle name="20% - Accent3 2 2 3" xfId="647"/>
    <cellStyle name="20% - Accent3 2 2 3 2" xfId="648"/>
    <cellStyle name="20% - Accent3 2 2 3 2 2" xfId="649"/>
    <cellStyle name="20% - Accent3 2 2 3 2 2 2" xfId="650"/>
    <cellStyle name="20% - Accent3 2 2 3 2 2 2 2" xfId="9657"/>
    <cellStyle name="20% - Accent3 2 2 3 2 2 2 2 2" xfId="17473"/>
    <cellStyle name="20% - Accent3 2 2 3 2 2 2 3" xfId="13586"/>
    <cellStyle name="20% - Accent3 2 2 3 2 2 3" xfId="9656"/>
    <cellStyle name="20% - Accent3 2 2 3 2 2 3 2" xfId="17472"/>
    <cellStyle name="20% - Accent3 2 2 3 2 2 4" xfId="13585"/>
    <cellStyle name="20% - Accent3 2 2 3 2 3" xfId="651"/>
    <cellStyle name="20% - Accent3 2 2 3 2 3 2" xfId="652"/>
    <cellStyle name="20% - Accent3 2 2 3 2 3 2 2" xfId="9659"/>
    <cellStyle name="20% - Accent3 2 2 3 2 3 2 2 2" xfId="17475"/>
    <cellStyle name="20% - Accent3 2 2 3 2 3 2 3" xfId="13588"/>
    <cellStyle name="20% - Accent3 2 2 3 2 3 3" xfId="9658"/>
    <cellStyle name="20% - Accent3 2 2 3 2 3 3 2" xfId="17474"/>
    <cellStyle name="20% - Accent3 2 2 3 2 3 4" xfId="13587"/>
    <cellStyle name="20% - Accent3 2 2 3 2 4" xfId="653"/>
    <cellStyle name="20% - Accent3 2 2 3 2 4 2" xfId="9660"/>
    <cellStyle name="20% - Accent3 2 2 3 2 4 2 2" xfId="17476"/>
    <cellStyle name="20% - Accent3 2 2 3 2 4 3" xfId="13589"/>
    <cellStyle name="20% - Accent3 2 2 3 2 5" xfId="9655"/>
    <cellStyle name="20% - Accent3 2 2 3 2 5 2" xfId="17471"/>
    <cellStyle name="20% - Accent3 2 2 3 2 6" xfId="13584"/>
    <cellStyle name="20% - Accent3 2 2 3 3" xfId="654"/>
    <cellStyle name="20% - Accent3 2 2 3 3 2" xfId="655"/>
    <cellStyle name="20% - Accent3 2 2 3 3 2 2" xfId="656"/>
    <cellStyle name="20% - Accent3 2 2 3 3 2 2 2" xfId="9663"/>
    <cellStyle name="20% - Accent3 2 2 3 3 2 2 2 2" xfId="17479"/>
    <cellStyle name="20% - Accent3 2 2 3 3 2 2 3" xfId="13592"/>
    <cellStyle name="20% - Accent3 2 2 3 3 2 3" xfId="9662"/>
    <cellStyle name="20% - Accent3 2 2 3 3 2 3 2" xfId="17478"/>
    <cellStyle name="20% - Accent3 2 2 3 3 2 4" xfId="13591"/>
    <cellStyle name="20% - Accent3 2 2 3 3 3" xfId="657"/>
    <cellStyle name="20% - Accent3 2 2 3 3 3 2" xfId="9664"/>
    <cellStyle name="20% - Accent3 2 2 3 3 3 2 2" xfId="17480"/>
    <cellStyle name="20% - Accent3 2 2 3 3 3 3" xfId="13593"/>
    <cellStyle name="20% - Accent3 2 2 3 3 4" xfId="9661"/>
    <cellStyle name="20% - Accent3 2 2 3 3 4 2" xfId="17477"/>
    <cellStyle name="20% - Accent3 2 2 3 3 5" xfId="13590"/>
    <cellStyle name="20% - Accent3 2 2 3 4" xfId="658"/>
    <cellStyle name="20% - Accent3 2 2 3 4 2" xfId="659"/>
    <cellStyle name="20% - Accent3 2 2 3 4 2 2" xfId="9666"/>
    <cellStyle name="20% - Accent3 2 2 3 4 2 2 2" xfId="17482"/>
    <cellStyle name="20% - Accent3 2 2 3 4 2 3" xfId="13595"/>
    <cellStyle name="20% - Accent3 2 2 3 4 3" xfId="9665"/>
    <cellStyle name="20% - Accent3 2 2 3 4 3 2" xfId="17481"/>
    <cellStyle name="20% - Accent3 2 2 3 4 4" xfId="13594"/>
    <cellStyle name="20% - Accent3 2 2 3 5" xfId="660"/>
    <cellStyle name="20% - Accent3 2 2 3 5 2" xfId="9667"/>
    <cellStyle name="20% - Accent3 2 2 3 5 2 2" xfId="17483"/>
    <cellStyle name="20% - Accent3 2 2 3 5 3" xfId="13596"/>
    <cellStyle name="20% - Accent3 2 2 3 6" xfId="9654"/>
    <cellStyle name="20% - Accent3 2 2 3 6 2" xfId="17470"/>
    <cellStyle name="20% - Accent3 2 2 3 7" xfId="13583"/>
    <cellStyle name="20% - Accent3 2 2 4" xfId="661"/>
    <cellStyle name="20% - Accent3 2 2 4 2" xfId="662"/>
    <cellStyle name="20% - Accent3 2 2 4 2 2" xfId="663"/>
    <cellStyle name="20% - Accent3 2 2 4 2 2 2" xfId="664"/>
    <cellStyle name="20% - Accent3 2 2 4 2 2 2 2" xfId="9671"/>
    <cellStyle name="20% - Accent3 2 2 4 2 2 2 2 2" xfId="17487"/>
    <cellStyle name="20% - Accent3 2 2 4 2 2 2 3" xfId="13600"/>
    <cellStyle name="20% - Accent3 2 2 4 2 2 3" xfId="9670"/>
    <cellStyle name="20% - Accent3 2 2 4 2 2 3 2" xfId="17486"/>
    <cellStyle name="20% - Accent3 2 2 4 2 2 4" xfId="13599"/>
    <cellStyle name="20% - Accent3 2 2 4 2 3" xfId="665"/>
    <cellStyle name="20% - Accent3 2 2 4 2 3 2" xfId="9672"/>
    <cellStyle name="20% - Accent3 2 2 4 2 3 2 2" xfId="17488"/>
    <cellStyle name="20% - Accent3 2 2 4 2 3 3" xfId="13601"/>
    <cellStyle name="20% - Accent3 2 2 4 2 4" xfId="9669"/>
    <cellStyle name="20% - Accent3 2 2 4 2 4 2" xfId="17485"/>
    <cellStyle name="20% - Accent3 2 2 4 2 5" xfId="13598"/>
    <cellStyle name="20% - Accent3 2 2 4 3" xfId="666"/>
    <cellStyle name="20% - Accent3 2 2 4 3 2" xfId="667"/>
    <cellStyle name="20% - Accent3 2 2 4 3 2 2" xfId="9674"/>
    <cellStyle name="20% - Accent3 2 2 4 3 2 2 2" xfId="17490"/>
    <cellStyle name="20% - Accent3 2 2 4 3 2 3" xfId="13603"/>
    <cellStyle name="20% - Accent3 2 2 4 3 3" xfId="9673"/>
    <cellStyle name="20% - Accent3 2 2 4 3 3 2" xfId="17489"/>
    <cellStyle name="20% - Accent3 2 2 4 3 4" xfId="13602"/>
    <cellStyle name="20% - Accent3 2 2 4 4" xfId="668"/>
    <cellStyle name="20% - Accent3 2 2 4 4 2" xfId="9675"/>
    <cellStyle name="20% - Accent3 2 2 4 4 2 2" xfId="17491"/>
    <cellStyle name="20% - Accent3 2 2 4 4 3" xfId="13604"/>
    <cellStyle name="20% - Accent3 2 2 4 5" xfId="9668"/>
    <cellStyle name="20% - Accent3 2 2 4 5 2" xfId="17484"/>
    <cellStyle name="20% - Accent3 2 2 4 6" xfId="13597"/>
    <cellStyle name="20% - Accent3 2 2 5" xfId="669"/>
    <cellStyle name="20% - Accent3 2 2 5 2" xfId="670"/>
    <cellStyle name="20% - Accent3 2 2 5 2 2" xfId="671"/>
    <cellStyle name="20% - Accent3 2 2 5 2 2 2" xfId="672"/>
    <cellStyle name="20% - Accent3 2 2 5 2 2 2 2" xfId="9679"/>
    <cellStyle name="20% - Accent3 2 2 5 2 2 2 2 2" xfId="17495"/>
    <cellStyle name="20% - Accent3 2 2 5 2 2 2 3" xfId="13608"/>
    <cellStyle name="20% - Accent3 2 2 5 2 2 3" xfId="9678"/>
    <cellStyle name="20% - Accent3 2 2 5 2 2 3 2" xfId="17494"/>
    <cellStyle name="20% - Accent3 2 2 5 2 2 4" xfId="13607"/>
    <cellStyle name="20% - Accent3 2 2 5 2 3" xfId="673"/>
    <cellStyle name="20% - Accent3 2 2 5 2 3 2" xfId="9680"/>
    <cellStyle name="20% - Accent3 2 2 5 2 3 2 2" xfId="17496"/>
    <cellStyle name="20% - Accent3 2 2 5 2 3 3" xfId="13609"/>
    <cellStyle name="20% - Accent3 2 2 5 2 4" xfId="9677"/>
    <cellStyle name="20% - Accent3 2 2 5 2 4 2" xfId="17493"/>
    <cellStyle name="20% - Accent3 2 2 5 2 5" xfId="13606"/>
    <cellStyle name="20% - Accent3 2 2 5 3" xfId="674"/>
    <cellStyle name="20% - Accent3 2 2 5 3 2" xfId="675"/>
    <cellStyle name="20% - Accent3 2 2 5 3 2 2" xfId="9682"/>
    <cellStyle name="20% - Accent3 2 2 5 3 2 2 2" xfId="17498"/>
    <cellStyle name="20% - Accent3 2 2 5 3 2 3" xfId="13611"/>
    <cellStyle name="20% - Accent3 2 2 5 3 3" xfId="9681"/>
    <cellStyle name="20% - Accent3 2 2 5 3 3 2" xfId="17497"/>
    <cellStyle name="20% - Accent3 2 2 5 3 4" xfId="13610"/>
    <cellStyle name="20% - Accent3 2 2 5 4" xfId="676"/>
    <cellStyle name="20% - Accent3 2 2 5 4 2" xfId="677"/>
    <cellStyle name="20% - Accent3 2 2 5 4 2 2" xfId="9684"/>
    <cellStyle name="20% - Accent3 2 2 5 4 2 2 2" xfId="17500"/>
    <cellStyle name="20% - Accent3 2 2 5 4 2 3" xfId="13613"/>
    <cellStyle name="20% - Accent3 2 2 5 4 3" xfId="9683"/>
    <cellStyle name="20% - Accent3 2 2 5 4 3 2" xfId="17499"/>
    <cellStyle name="20% - Accent3 2 2 5 4 4" xfId="13612"/>
    <cellStyle name="20% - Accent3 2 2 5 5" xfId="678"/>
    <cellStyle name="20% - Accent3 2 2 5 5 2" xfId="9685"/>
    <cellStyle name="20% - Accent3 2 2 5 5 2 2" xfId="17501"/>
    <cellStyle name="20% - Accent3 2 2 5 5 3" xfId="13614"/>
    <cellStyle name="20% - Accent3 2 2 5 6" xfId="9676"/>
    <cellStyle name="20% - Accent3 2 2 5 6 2" xfId="17492"/>
    <cellStyle name="20% - Accent3 2 2 5 7" xfId="13605"/>
    <cellStyle name="20% - Accent3 2 2 6" xfId="679"/>
    <cellStyle name="20% - Accent3 2 2 6 2" xfId="680"/>
    <cellStyle name="20% - Accent3 2 2 6 2 2" xfId="681"/>
    <cellStyle name="20% - Accent3 2 2 6 2 2 2" xfId="9688"/>
    <cellStyle name="20% - Accent3 2 2 6 2 2 2 2" xfId="17504"/>
    <cellStyle name="20% - Accent3 2 2 6 2 2 3" xfId="13617"/>
    <cellStyle name="20% - Accent3 2 2 6 2 3" xfId="9687"/>
    <cellStyle name="20% - Accent3 2 2 6 2 3 2" xfId="17503"/>
    <cellStyle name="20% - Accent3 2 2 6 2 4" xfId="13616"/>
    <cellStyle name="20% - Accent3 2 2 6 3" xfId="682"/>
    <cellStyle name="20% - Accent3 2 2 6 3 2" xfId="9689"/>
    <cellStyle name="20% - Accent3 2 2 6 3 2 2" xfId="17505"/>
    <cellStyle name="20% - Accent3 2 2 6 3 3" xfId="13618"/>
    <cellStyle name="20% - Accent3 2 2 6 4" xfId="9686"/>
    <cellStyle name="20% - Accent3 2 2 6 4 2" xfId="17502"/>
    <cellStyle name="20% - Accent3 2 2 6 5" xfId="13615"/>
    <cellStyle name="20% - Accent3 2 2 7" xfId="683"/>
    <cellStyle name="20% - Accent3 2 2 7 2" xfId="684"/>
    <cellStyle name="20% - Accent3 2 2 7 2 2" xfId="9691"/>
    <cellStyle name="20% - Accent3 2 2 7 2 2 2" xfId="17507"/>
    <cellStyle name="20% - Accent3 2 2 7 2 3" xfId="13620"/>
    <cellStyle name="20% - Accent3 2 2 7 3" xfId="9690"/>
    <cellStyle name="20% - Accent3 2 2 7 3 2" xfId="17506"/>
    <cellStyle name="20% - Accent3 2 2 7 4" xfId="13619"/>
    <cellStyle name="20% - Accent3 2 2 8" xfId="685"/>
    <cellStyle name="20% - Accent3 2 2 8 2" xfId="9692"/>
    <cellStyle name="20% - Accent3 2 2 8 2 2" xfId="17508"/>
    <cellStyle name="20% - Accent3 2 2 8 3" xfId="13621"/>
    <cellStyle name="20% - Accent3 2 2 9" xfId="9621"/>
    <cellStyle name="20% - Accent3 2 2 9 2" xfId="17437"/>
    <cellStyle name="20% - Accent3 2 3" xfId="686"/>
    <cellStyle name="20% - Accent3 2 3 2" xfId="687"/>
    <cellStyle name="20% - Accent3 2 3 2 2" xfId="688"/>
    <cellStyle name="20% - Accent3 2 3 2 2 2" xfId="689"/>
    <cellStyle name="20% - Accent3 2 3 2 2 2 2" xfId="690"/>
    <cellStyle name="20% - Accent3 2 3 2 2 2 2 2" xfId="9697"/>
    <cellStyle name="20% - Accent3 2 3 2 2 2 2 2 2" xfId="17513"/>
    <cellStyle name="20% - Accent3 2 3 2 2 2 2 3" xfId="13626"/>
    <cellStyle name="20% - Accent3 2 3 2 2 2 3" xfId="9696"/>
    <cellStyle name="20% - Accent3 2 3 2 2 2 3 2" xfId="17512"/>
    <cellStyle name="20% - Accent3 2 3 2 2 2 4" xfId="13625"/>
    <cellStyle name="20% - Accent3 2 3 2 2 3" xfId="691"/>
    <cellStyle name="20% - Accent3 2 3 2 2 3 2" xfId="692"/>
    <cellStyle name="20% - Accent3 2 3 2 2 3 2 2" xfId="9699"/>
    <cellStyle name="20% - Accent3 2 3 2 2 3 2 2 2" xfId="17515"/>
    <cellStyle name="20% - Accent3 2 3 2 2 3 2 3" xfId="13628"/>
    <cellStyle name="20% - Accent3 2 3 2 2 3 3" xfId="9698"/>
    <cellStyle name="20% - Accent3 2 3 2 2 3 3 2" xfId="17514"/>
    <cellStyle name="20% - Accent3 2 3 2 2 3 4" xfId="13627"/>
    <cellStyle name="20% - Accent3 2 3 2 2 4" xfId="693"/>
    <cellStyle name="20% - Accent3 2 3 2 2 4 2" xfId="9700"/>
    <cellStyle name="20% - Accent3 2 3 2 2 4 2 2" xfId="17516"/>
    <cellStyle name="20% - Accent3 2 3 2 2 4 3" xfId="13629"/>
    <cellStyle name="20% - Accent3 2 3 2 2 5" xfId="9695"/>
    <cellStyle name="20% - Accent3 2 3 2 2 5 2" xfId="17511"/>
    <cellStyle name="20% - Accent3 2 3 2 2 6" xfId="13624"/>
    <cellStyle name="20% - Accent3 2 3 2 3" xfId="694"/>
    <cellStyle name="20% - Accent3 2 3 2 3 2" xfId="695"/>
    <cellStyle name="20% - Accent3 2 3 2 3 2 2" xfId="696"/>
    <cellStyle name="20% - Accent3 2 3 2 3 2 2 2" xfId="9703"/>
    <cellStyle name="20% - Accent3 2 3 2 3 2 2 2 2" xfId="17519"/>
    <cellStyle name="20% - Accent3 2 3 2 3 2 2 3" xfId="13632"/>
    <cellStyle name="20% - Accent3 2 3 2 3 2 3" xfId="9702"/>
    <cellStyle name="20% - Accent3 2 3 2 3 2 3 2" xfId="17518"/>
    <cellStyle name="20% - Accent3 2 3 2 3 2 4" xfId="13631"/>
    <cellStyle name="20% - Accent3 2 3 2 3 3" xfId="697"/>
    <cellStyle name="20% - Accent3 2 3 2 3 3 2" xfId="9704"/>
    <cellStyle name="20% - Accent3 2 3 2 3 3 2 2" xfId="17520"/>
    <cellStyle name="20% - Accent3 2 3 2 3 3 3" xfId="13633"/>
    <cellStyle name="20% - Accent3 2 3 2 3 4" xfId="9701"/>
    <cellStyle name="20% - Accent3 2 3 2 3 4 2" xfId="17517"/>
    <cellStyle name="20% - Accent3 2 3 2 3 5" xfId="13630"/>
    <cellStyle name="20% - Accent3 2 3 2 4" xfId="698"/>
    <cellStyle name="20% - Accent3 2 3 2 4 2" xfId="699"/>
    <cellStyle name="20% - Accent3 2 3 2 4 2 2" xfId="9706"/>
    <cellStyle name="20% - Accent3 2 3 2 4 2 2 2" xfId="17522"/>
    <cellStyle name="20% - Accent3 2 3 2 4 2 3" xfId="13635"/>
    <cellStyle name="20% - Accent3 2 3 2 4 3" xfId="9705"/>
    <cellStyle name="20% - Accent3 2 3 2 4 3 2" xfId="17521"/>
    <cellStyle name="20% - Accent3 2 3 2 4 4" xfId="13634"/>
    <cellStyle name="20% - Accent3 2 3 2 5" xfId="700"/>
    <cellStyle name="20% - Accent3 2 3 2 5 2" xfId="9707"/>
    <cellStyle name="20% - Accent3 2 3 2 5 2 2" xfId="17523"/>
    <cellStyle name="20% - Accent3 2 3 2 5 3" xfId="13636"/>
    <cellStyle name="20% - Accent3 2 3 2 6" xfId="9694"/>
    <cellStyle name="20% - Accent3 2 3 2 6 2" xfId="17510"/>
    <cellStyle name="20% - Accent3 2 3 2 7" xfId="13623"/>
    <cellStyle name="20% - Accent3 2 3 3" xfId="701"/>
    <cellStyle name="20% - Accent3 2 3 3 2" xfId="702"/>
    <cellStyle name="20% - Accent3 2 3 3 2 2" xfId="703"/>
    <cellStyle name="20% - Accent3 2 3 3 2 2 2" xfId="704"/>
    <cellStyle name="20% - Accent3 2 3 3 2 2 2 2" xfId="9711"/>
    <cellStyle name="20% - Accent3 2 3 3 2 2 2 2 2" xfId="17527"/>
    <cellStyle name="20% - Accent3 2 3 3 2 2 2 3" xfId="13640"/>
    <cellStyle name="20% - Accent3 2 3 3 2 2 3" xfId="9710"/>
    <cellStyle name="20% - Accent3 2 3 3 2 2 3 2" xfId="17526"/>
    <cellStyle name="20% - Accent3 2 3 3 2 2 4" xfId="13639"/>
    <cellStyle name="20% - Accent3 2 3 3 2 3" xfId="705"/>
    <cellStyle name="20% - Accent3 2 3 3 2 3 2" xfId="9712"/>
    <cellStyle name="20% - Accent3 2 3 3 2 3 2 2" xfId="17528"/>
    <cellStyle name="20% - Accent3 2 3 3 2 3 3" xfId="13641"/>
    <cellStyle name="20% - Accent3 2 3 3 2 4" xfId="9709"/>
    <cellStyle name="20% - Accent3 2 3 3 2 4 2" xfId="17525"/>
    <cellStyle name="20% - Accent3 2 3 3 2 5" xfId="13638"/>
    <cellStyle name="20% - Accent3 2 3 3 3" xfId="706"/>
    <cellStyle name="20% - Accent3 2 3 3 3 2" xfId="707"/>
    <cellStyle name="20% - Accent3 2 3 3 3 2 2" xfId="9714"/>
    <cellStyle name="20% - Accent3 2 3 3 3 2 2 2" xfId="17530"/>
    <cellStyle name="20% - Accent3 2 3 3 3 2 3" xfId="13643"/>
    <cellStyle name="20% - Accent3 2 3 3 3 3" xfId="9713"/>
    <cellStyle name="20% - Accent3 2 3 3 3 3 2" xfId="17529"/>
    <cellStyle name="20% - Accent3 2 3 3 3 4" xfId="13642"/>
    <cellStyle name="20% - Accent3 2 3 3 4" xfId="708"/>
    <cellStyle name="20% - Accent3 2 3 3 4 2" xfId="709"/>
    <cellStyle name="20% - Accent3 2 3 3 4 2 2" xfId="9716"/>
    <cellStyle name="20% - Accent3 2 3 3 4 2 2 2" xfId="17532"/>
    <cellStyle name="20% - Accent3 2 3 3 4 2 3" xfId="13645"/>
    <cellStyle name="20% - Accent3 2 3 3 4 3" xfId="9715"/>
    <cellStyle name="20% - Accent3 2 3 3 4 3 2" xfId="17531"/>
    <cellStyle name="20% - Accent3 2 3 3 4 4" xfId="13644"/>
    <cellStyle name="20% - Accent3 2 3 3 5" xfId="710"/>
    <cellStyle name="20% - Accent3 2 3 3 5 2" xfId="9717"/>
    <cellStyle name="20% - Accent3 2 3 3 5 2 2" xfId="17533"/>
    <cellStyle name="20% - Accent3 2 3 3 5 3" xfId="13646"/>
    <cellStyle name="20% - Accent3 2 3 3 6" xfId="9708"/>
    <cellStyle name="20% - Accent3 2 3 3 6 2" xfId="17524"/>
    <cellStyle name="20% - Accent3 2 3 3 7" xfId="13637"/>
    <cellStyle name="20% - Accent3 2 3 4" xfId="711"/>
    <cellStyle name="20% - Accent3 2 3 4 2" xfId="712"/>
    <cellStyle name="20% - Accent3 2 3 4 2 2" xfId="713"/>
    <cellStyle name="20% - Accent3 2 3 4 2 2 2" xfId="9720"/>
    <cellStyle name="20% - Accent3 2 3 4 2 2 2 2" xfId="17536"/>
    <cellStyle name="20% - Accent3 2 3 4 2 2 3" xfId="13649"/>
    <cellStyle name="20% - Accent3 2 3 4 2 3" xfId="9719"/>
    <cellStyle name="20% - Accent3 2 3 4 2 3 2" xfId="17535"/>
    <cellStyle name="20% - Accent3 2 3 4 2 4" xfId="13648"/>
    <cellStyle name="20% - Accent3 2 3 4 3" xfId="714"/>
    <cellStyle name="20% - Accent3 2 3 4 3 2" xfId="9721"/>
    <cellStyle name="20% - Accent3 2 3 4 3 2 2" xfId="17537"/>
    <cellStyle name="20% - Accent3 2 3 4 3 3" xfId="13650"/>
    <cellStyle name="20% - Accent3 2 3 4 4" xfId="9718"/>
    <cellStyle name="20% - Accent3 2 3 4 4 2" xfId="17534"/>
    <cellStyle name="20% - Accent3 2 3 4 5" xfId="13647"/>
    <cellStyle name="20% - Accent3 2 3 5" xfId="715"/>
    <cellStyle name="20% - Accent3 2 3 5 2" xfId="716"/>
    <cellStyle name="20% - Accent3 2 3 5 2 2" xfId="9723"/>
    <cellStyle name="20% - Accent3 2 3 5 2 2 2" xfId="17539"/>
    <cellStyle name="20% - Accent3 2 3 5 2 3" xfId="13652"/>
    <cellStyle name="20% - Accent3 2 3 5 3" xfId="9722"/>
    <cellStyle name="20% - Accent3 2 3 5 3 2" xfId="17538"/>
    <cellStyle name="20% - Accent3 2 3 5 4" xfId="13651"/>
    <cellStyle name="20% - Accent3 2 3 6" xfId="717"/>
    <cellStyle name="20% - Accent3 2 3 6 2" xfId="9724"/>
    <cellStyle name="20% - Accent3 2 3 6 2 2" xfId="17540"/>
    <cellStyle name="20% - Accent3 2 3 6 3" xfId="13653"/>
    <cellStyle name="20% - Accent3 2 3 7" xfId="9693"/>
    <cellStyle name="20% - Accent3 2 3 7 2" xfId="17509"/>
    <cellStyle name="20% - Accent3 2 3 8" xfId="13622"/>
    <cellStyle name="20% - Accent3 2 4" xfId="718"/>
    <cellStyle name="20% - Accent3 2 4 2" xfId="719"/>
    <cellStyle name="20% - Accent3 2 4 2 2" xfId="720"/>
    <cellStyle name="20% - Accent3 2 4 2 2 2" xfId="721"/>
    <cellStyle name="20% - Accent3 2 4 2 2 2 2" xfId="9728"/>
    <cellStyle name="20% - Accent3 2 4 2 2 2 2 2" xfId="17544"/>
    <cellStyle name="20% - Accent3 2 4 2 2 2 3" xfId="13657"/>
    <cellStyle name="20% - Accent3 2 4 2 2 3" xfId="9727"/>
    <cellStyle name="20% - Accent3 2 4 2 2 3 2" xfId="17543"/>
    <cellStyle name="20% - Accent3 2 4 2 2 4" xfId="13656"/>
    <cellStyle name="20% - Accent3 2 4 2 3" xfId="722"/>
    <cellStyle name="20% - Accent3 2 4 2 3 2" xfId="723"/>
    <cellStyle name="20% - Accent3 2 4 2 3 2 2" xfId="9730"/>
    <cellStyle name="20% - Accent3 2 4 2 3 2 2 2" xfId="17546"/>
    <cellStyle name="20% - Accent3 2 4 2 3 2 3" xfId="13659"/>
    <cellStyle name="20% - Accent3 2 4 2 3 3" xfId="9729"/>
    <cellStyle name="20% - Accent3 2 4 2 3 3 2" xfId="17545"/>
    <cellStyle name="20% - Accent3 2 4 2 3 4" xfId="13658"/>
    <cellStyle name="20% - Accent3 2 4 2 4" xfId="724"/>
    <cellStyle name="20% - Accent3 2 4 2 4 2" xfId="9731"/>
    <cellStyle name="20% - Accent3 2 4 2 4 2 2" xfId="17547"/>
    <cellStyle name="20% - Accent3 2 4 2 4 3" xfId="13660"/>
    <cellStyle name="20% - Accent3 2 4 2 5" xfId="9726"/>
    <cellStyle name="20% - Accent3 2 4 2 5 2" xfId="17542"/>
    <cellStyle name="20% - Accent3 2 4 2 6" xfId="13655"/>
    <cellStyle name="20% - Accent3 2 4 3" xfId="725"/>
    <cellStyle name="20% - Accent3 2 4 3 2" xfId="726"/>
    <cellStyle name="20% - Accent3 2 4 3 2 2" xfId="727"/>
    <cellStyle name="20% - Accent3 2 4 3 2 2 2" xfId="9734"/>
    <cellStyle name="20% - Accent3 2 4 3 2 2 2 2" xfId="17550"/>
    <cellStyle name="20% - Accent3 2 4 3 2 2 3" xfId="13663"/>
    <cellStyle name="20% - Accent3 2 4 3 2 3" xfId="9733"/>
    <cellStyle name="20% - Accent3 2 4 3 2 3 2" xfId="17549"/>
    <cellStyle name="20% - Accent3 2 4 3 2 4" xfId="13662"/>
    <cellStyle name="20% - Accent3 2 4 3 3" xfId="728"/>
    <cellStyle name="20% - Accent3 2 4 3 3 2" xfId="9735"/>
    <cellStyle name="20% - Accent3 2 4 3 3 2 2" xfId="17551"/>
    <cellStyle name="20% - Accent3 2 4 3 3 3" xfId="13664"/>
    <cellStyle name="20% - Accent3 2 4 3 4" xfId="9732"/>
    <cellStyle name="20% - Accent3 2 4 3 4 2" xfId="17548"/>
    <cellStyle name="20% - Accent3 2 4 3 5" xfId="13661"/>
    <cellStyle name="20% - Accent3 2 4 4" xfId="729"/>
    <cellStyle name="20% - Accent3 2 4 4 2" xfId="730"/>
    <cellStyle name="20% - Accent3 2 4 4 2 2" xfId="9737"/>
    <cellStyle name="20% - Accent3 2 4 4 2 2 2" xfId="17553"/>
    <cellStyle name="20% - Accent3 2 4 4 2 3" xfId="13666"/>
    <cellStyle name="20% - Accent3 2 4 4 3" xfId="9736"/>
    <cellStyle name="20% - Accent3 2 4 4 3 2" xfId="17552"/>
    <cellStyle name="20% - Accent3 2 4 4 4" xfId="13665"/>
    <cellStyle name="20% - Accent3 2 4 5" xfId="731"/>
    <cellStyle name="20% - Accent3 2 4 5 2" xfId="9738"/>
    <cellStyle name="20% - Accent3 2 4 5 2 2" xfId="17554"/>
    <cellStyle name="20% - Accent3 2 4 5 3" xfId="13667"/>
    <cellStyle name="20% - Accent3 2 4 6" xfId="9725"/>
    <cellStyle name="20% - Accent3 2 4 6 2" xfId="17541"/>
    <cellStyle name="20% - Accent3 2 4 7" xfId="13654"/>
    <cellStyle name="20% - Accent3 2 5" xfId="732"/>
    <cellStyle name="20% - Accent3 2 5 2" xfId="733"/>
    <cellStyle name="20% - Accent3 2 5 2 2" xfId="734"/>
    <cellStyle name="20% - Accent3 2 5 2 2 2" xfId="735"/>
    <cellStyle name="20% - Accent3 2 5 2 2 2 2" xfId="9742"/>
    <cellStyle name="20% - Accent3 2 5 2 2 2 2 2" xfId="17558"/>
    <cellStyle name="20% - Accent3 2 5 2 2 2 3" xfId="13671"/>
    <cellStyle name="20% - Accent3 2 5 2 2 3" xfId="9741"/>
    <cellStyle name="20% - Accent3 2 5 2 2 3 2" xfId="17557"/>
    <cellStyle name="20% - Accent3 2 5 2 2 4" xfId="13670"/>
    <cellStyle name="20% - Accent3 2 5 2 3" xfId="736"/>
    <cellStyle name="20% - Accent3 2 5 2 3 2" xfId="9743"/>
    <cellStyle name="20% - Accent3 2 5 2 3 2 2" xfId="17559"/>
    <cellStyle name="20% - Accent3 2 5 2 3 3" xfId="13672"/>
    <cellStyle name="20% - Accent3 2 5 2 4" xfId="9740"/>
    <cellStyle name="20% - Accent3 2 5 2 4 2" xfId="17556"/>
    <cellStyle name="20% - Accent3 2 5 2 5" xfId="13669"/>
    <cellStyle name="20% - Accent3 2 5 3" xfId="737"/>
    <cellStyle name="20% - Accent3 2 5 3 2" xfId="738"/>
    <cellStyle name="20% - Accent3 2 5 3 2 2" xfId="9745"/>
    <cellStyle name="20% - Accent3 2 5 3 2 2 2" xfId="17561"/>
    <cellStyle name="20% - Accent3 2 5 3 2 3" xfId="13674"/>
    <cellStyle name="20% - Accent3 2 5 3 3" xfId="9744"/>
    <cellStyle name="20% - Accent3 2 5 3 3 2" xfId="17560"/>
    <cellStyle name="20% - Accent3 2 5 3 4" xfId="13673"/>
    <cellStyle name="20% - Accent3 2 5 4" xfId="739"/>
    <cellStyle name="20% - Accent3 2 5 4 2" xfId="9746"/>
    <cellStyle name="20% - Accent3 2 5 4 2 2" xfId="17562"/>
    <cellStyle name="20% - Accent3 2 5 4 3" xfId="13675"/>
    <cellStyle name="20% - Accent3 2 5 5" xfId="9739"/>
    <cellStyle name="20% - Accent3 2 5 5 2" xfId="17555"/>
    <cellStyle name="20% - Accent3 2 5 6" xfId="13668"/>
    <cellStyle name="20% - Accent3 2 6" xfId="740"/>
    <cellStyle name="20% - Accent3 2 6 2" xfId="741"/>
    <cellStyle name="20% - Accent3 2 6 2 2" xfId="742"/>
    <cellStyle name="20% - Accent3 2 6 2 2 2" xfId="743"/>
    <cellStyle name="20% - Accent3 2 6 2 2 2 2" xfId="9750"/>
    <cellStyle name="20% - Accent3 2 6 2 2 2 2 2" xfId="17566"/>
    <cellStyle name="20% - Accent3 2 6 2 2 2 3" xfId="13679"/>
    <cellStyle name="20% - Accent3 2 6 2 2 3" xfId="9749"/>
    <cellStyle name="20% - Accent3 2 6 2 2 3 2" xfId="17565"/>
    <cellStyle name="20% - Accent3 2 6 2 2 4" xfId="13678"/>
    <cellStyle name="20% - Accent3 2 6 2 3" xfId="744"/>
    <cellStyle name="20% - Accent3 2 6 2 3 2" xfId="9751"/>
    <cellStyle name="20% - Accent3 2 6 2 3 2 2" xfId="17567"/>
    <cellStyle name="20% - Accent3 2 6 2 3 3" xfId="13680"/>
    <cellStyle name="20% - Accent3 2 6 2 4" xfId="9748"/>
    <cellStyle name="20% - Accent3 2 6 2 4 2" xfId="17564"/>
    <cellStyle name="20% - Accent3 2 6 2 5" xfId="13677"/>
    <cellStyle name="20% - Accent3 2 6 3" xfId="745"/>
    <cellStyle name="20% - Accent3 2 6 3 2" xfId="746"/>
    <cellStyle name="20% - Accent3 2 6 3 2 2" xfId="9753"/>
    <cellStyle name="20% - Accent3 2 6 3 2 2 2" xfId="17569"/>
    <cellStyle name="20% - Accent3 2 6 3 2 3" xfId="13682"/>
    <cellStyle name="20% - Accent3 2 6 3 3" xfId="9752"/>
    <cellStyle name="20% - Accent3 2 6 3 3 2" xfId="17568"/>
    <cellStyle name="20% - Accent3 2 6 3 4" xfId="13681"/>
    <cellStyle name="20% - Accent3 2 6 4" xfId="747"/>
    <cellStyle name="20% - Accent3 2 6 4 2" xfId="9754"/>
    <cellStyle name="20% - Accent3 2 6 4 2 2" xfId="17570"/>
    <cellStyle name="20% - Accent3 2 6 4 3" xfId="13683"/>
    <cellStyle name="20% - Accent3 2 6 5" xfId="9747"/>
    <cellStyle name="20% - Accent3 2 6 5 2" xfId="17563"/>
    <cellStyle name="20% - Accent3 2 6 6" xfId="13676"/>
    <cellStyle name="20% - Accent3 2 7" xfId="748"/>
    <cellStyle name="20% - Accent3 2 7 2" xfId="749"/>
    <cellStyle name="20% - Accent3 2 7 2 2" xfId="750"/>
    <cellStyle name="20% - Accent3 2 7 2 2 2" xfId="9757"/>
    <cellStyle name="20% - Accent3 2 7 2 2 2 2" xfId="17573"/>
    <cellStyle name="20% - Accent3 2 7 2 2 3" xfId="13686"/>
    <cellStyle name="20% - Accent3 2 7 2 3" xfId="9756"/>
    <cellStyle name="20% - Accent3 2 7 2 3 2" xfId="17572"/>
    <cellStyle name="20% - Accent3 2 7 2 4" xfId="13685"/>
    <cellStyle name="20% - Accent3 2 7 3" xfId="751"/>
    <cellStyle name="20% - Accent3 2 7 3 2" xfId="9758"/>
    <cellStyle name="20% - Accent3 2 7 3 2 2" xfId="17574"/>
    <cellStyle name="20% - Accent3 2 7 3 3" xfId="13687"/>
    <cellStyle name="20% - Accent3 2 7 4" xfId="9755"/>
    <cellStyle name="20% - Accent3 2 7 4 2" xfId="17571"/>
    <cellStyle name="20% - Accent3 2 7 5" xfId="13684"/>
    <cellStyle name="20% - Accent3 2 8" xfId="752"/>
    <cellStyle name="20% - Accent3 2 8 2" xfId="753"/>
    <cellStyle name="20% - Accent3 2 8 2 2" xfId="9760"/>
    <cellStyle name="20% - Accent3 2 8 2 2 2" xfId="17576"/>
    <cellStyle name="20% - Accent3 2 8 2 3" xfId="13689"/>
    <cellStyle name="20% - Accent3 2 8 3" xfId="9759"/>
    <cellStyle name="20% - Accent3 2 8 3 2" xfId="17575"/>
    <cellStyle name="20% - Accent3 2 8 4" xfId="13688"/>
    <cellStyle name="20% - Accent3 2 9" xfId="754"/>
    <cellStyle name="20% - Accent3 2 9 2" xfId="755"/>
    <cellStyle name="20% - Accent3 2 9 2 2" xfId="9762"/>
    <cellStyle name="20% - Accent3 2 9 2 2 2" xfId="17578"/>
    <cellStyle name="20% - Accent3 2 9 2 3" xfId="13691"/>
    <cellStyle name="20% - Accent3 2 9 3" xfId="9761"/>
    <cellStyle name="20% - Accent3 2 9 3 2" xfId="17577"/>
    <cellStyle name="20% - Accent3 2 9 4" xfId="13690"/>
    <cellStyle name="20% - Accent3 3" xfId="756"/>
    <cellStyle name="20% - Accent3 3 2" xfId="757"/>
    <cellStyle name="20% - Accent3 3 2 2" xfId="758"/>
    <cellStyle name="20% - Accent3 3 2 2 2" xfId="759"/>
    <cellStyle name="20% - Accent3 3 2 2 2 2" xfId="760"/>
    <cellStyle name="20% - Accent3 3 2 2 2 2 2" xfId="761"/>
    <cellStyle name="20% - Accent3 3 2 2 2 2 2 2" xfId="9767"/>
    <cellStyle name="20% - Accent3 3 2 2 2 2 2 2 2" xfId="17583"/>
    <cellStyle name="20% - Accent3 3 2 2 2 2 2 3" xfId="13696"/>
    <cellStyle name="20% - Accent3 3 2 2 2 2 3" xfId="9766"/>
    <cellStyle name="20% - Accent3 3 2 2 2 2 3 2" xfId="17582"/>
    <cellStyle name="20% - Accent3 3 2 2 2 2 4" xfId="13695"/>
    <cellStyle name="20% - Accent3 3 2 2 2 3" xfId="762"/>
    <cellStyle name="20% - Accent3 3 2 2 2 3 2" xfId="763"/>
    <cellStyle name="20% - Accent3 3 2 2 2 3 2 2" xfId="9769"/>
    <cellStyle name="20% - Accent3 3 2 2 2 3 2 2 2" xfId="17585"/>
    <cellStyle name="20% - Accent3 3 2 2 2 3 2 3" xfId="13698"/>
    <cellStyle name="20% - Accent3 3 2 2 2 3 3" xfId="9768"/>
    <cellStyle name="20% - Accent3 3 2 2 2 3 3 2" xfId="17584"/>
    <cellStyle name="20% - Accent3 3 2 2 2 3 4" xfId="13697"/>
    <cellStyle name="20% - Accent3 3 2 2 2 4" xfId="764"/>
    <cellStyle name="20% - Accent3 3 2 2 2 4 2" xfId="9770"/>
    <cellStyle name="20% - Accent3 3 2 2 2 4 2 2" xfId="17586"/>
    <cellStyle name="20% - Accent3 3 2 2 2 4 3" xfId="13699"/>
    <cellStyle name="20% - Accent3 3 2 2 2 5" xfId="9765"/>
    <cellStyle name="20% - Accent3 3 2 2 2 5 2" xfId="17581"/>
    <cellStyle name="20% - Accent3 3 2 2 2 6" xfId="13694"/>
    <cellStyle name="20% - Accent3 3 2 2 3" xfId="765"/>
    <cellStyle name="20% - Accent3 3 2 2 3 2" xfId="766"/>
    <cellStyle name="20% - Accent3 3 2 2 3 2 2" xfId="767"/>
    <cellStyle name="20% - Accent3 3 2 2 3 2 2 2" xfId="9773"/>
    <cellStyle name="20% - Accent3 3 2 2 3 2 2 2 2" xfId="17589"/>
    <cellStyle name="20% - Accent3 3 2 2 3 2 2 3" xfId="13702"/>
    <cellStyle name="20% - Accent3 3 2 2 3 2 3" xfId="9772"/>
    <cellStyle name="20% - Accent3 3 2 2 3 2 3 2" xfId="17588"/>
    <cellStyle name="20% - Accent3 3 2 2 3 2 4" xfId="13701"/>
    <cellStyle name="20% - Accent3 3 2 2 3 3" xfId="768"/>
    <cellStyle name="20% - Accent3 3 2 2 3 3 2" xfId="9774"/>
    <cellStyle name="20% - Accent3 3 2 2 3 3 2 2" xfId="17590"/>
    <cellStyle name="20% - Accent3 3 2 2 3 3 3" xfId="13703"/>
    <cellStyle name="20% - Accent3 3 2 2 3 4" xfId="9771"/>
    <cellStyle name="20% - Accent3 3 2 2 3 4 2" xfId="17587"/>
    <cellStyle name="20% - Accent3 3 2 2 3 5" xfId="13700"/>
    <cellStyle name="20% - Accent3 3 2 2 4" xfId="769"/>
    <cellStyle name="20% - Accent3 3 2 2 4 2" xfId="770"/>
    <cellStyle name="20% - Accent3 3 2 2 4 2 2" xfId="9776"/>
    <cellStyle name="20% - Accent3 3 2 2 4 2 2 2" xfId="17592"/>
    <cellStyle name="20% - Accent3 3 2 2 4 2 3" xfId="13705"/>
    <cellStyle name="20% - Accent3 3 2 2 4 3" xfId="9775"/>
    <cellStyle name="20% - Accent3 3 2 2 4 3 2" xfId="17591"/>
    <cellStyle name="20% - Accent3 3 2 2 4 4" xfId="13704"/>
    <cellStyle name="20% - Accent3 3 2 2 5" xfId="771"/>
    <cellStyle name="20% - Accent3 3 2 2 5 2" xfId="9777"/>
    <cellStyle name="20% - Accent3 3 2 2 5 2 2" xfId="17593"/>
    <cellStyle name="20% - Accent3 3 2 2 5 3" xfId="13706"/>
    <cellStyle name="20% - Accent3 3 2 2 6" xfId="9764"/>
    <cellStyle name="20% - Accent3 3 2 2 6 2" xfId="17580"/>
    <cellStyle name="20% - Accent3 3 2 2 7" xfId="13693"/>
    <cellStyle name="20% - Accent3 3 2 3" xfId="772"/>
    <cellStyle name="20% - Accent3 3 2 3 2" xfId="773"/>
    <cellStyle name="20% - Accent3 3 2 3 2 2" xfId="774"/>
    <cellStyle name="20% - Accent3 3 2 3 2 2 2" xfId="775"/>
    <cellStyle name="20% - Accent3 3 2 3 2 2 2 2" xfId="9781"/>
    <cellStyle name="20% - Accent3 3 2 3 2 2 2 2 2" xfId="17597"/>
    <cellStyle name="20% - Accent3 3 2 3 2 2 2 3" xfId="13710"/>
    <cellStyle name="20% - Accent3 3 2 3 2 2 3" xfId="9780"/>
    <cellStyle name="20% - Accent3 3 2 3 2 2 3 2" xfId="17596"/>
    <cellStyle name="20% - Accent3 3 2 3 2 2 4" xfId="13709"/>
    <cellStyle name="20% - Accent3 3 2 3 2 3" xfId="776"/>
    <cellStyle name="20% - Accent3 3 2 3 2 3 2" xfId="9782"/>
    <cellStyle name="20% - Accent3 3 2 3 2 3 2 2" xfId="17598"/>
    <cellStyle name="20% - Accent3 3 2 3 2 3 3" xfId="13711"/>
    <cellStyle name="20% - Accent3 3 2 3 2 4" xfId="9779"/>
    <cellStyle name="20% - Accent3 3 2 3 2 4 2" xfId="17595"/>
    <cellStyle name="20% - Accent3 3 2 3 2 5" xfId="13708"/>
    <cellStyle name="20% - Accent3 3 2 3 3" xfId="777"/>
    <cellStyle name="20% - Accent3 3 2 3 3 2" xfId="778"/>
    <cellStyle name="20% - Accent3 3 2 3 3 2 2" xfId="9784"/>
    <cellStyle name="20% - Accent3 3 2 3 3 2 2 2" xfId="17600"/>
    <cellStyle name="20% - Accent3 3 2 3 3 2 3" xfId="13713"/>
    <cellStyle name="20% - Accent3 3 2 3 3 3" xfId="9783"/>
    <cellStyle name="20% - Accent3 3 2 3 3 3 2" xfId="17599"/>
    <cellStyle name="20% - Accent3 3 2 3 3 4" xfId="13712"/>
    <cellStyle name="20% - Accent3 3 2 3 4" xfId="779"/>
    <cellStyle name="20% - Accent3 3 2 3 4 2" xfId="780"/>
    <cellStyle name="20% - Accent3 3 2 3 4 2 2" xfId="9786"/>
    <cellStyle name="20% - Accent3 3 2 3 4 2 2 2" xfId="17602"/>
    <cellStyle name="20% - Accent3 3 2 3 4 2 3" xfId="13715"/>
    <cellStyle name="20% - Accent3 3 2 3 4 3" xfId="9785"/>
    <cellStyle name="20% - Accent3 3 2 3 4 3 2" xfId="17601"/>
    <cellStyle name="20% - Accent3 3 2 3 4 4" xfId="13714"/>
    <cellStyle name="20% - Accent3 3 2 3 5" xfId="781"/>
    <cellStyle name="20% - Accent3 3 2 3 5 2" xfId="9787"/>
    <cellStyle name="20% - Accent3 3 2 3 5 2 2" xfId="17603"/>
    <cellStyle name="20% - Accent3 3 2 3 5 3" xfId="13716"/>
    <cellStyle name="20% - Accent3 3 2 3 6" xfId="9778"/>
    <cellStyle name="20% - Accent3 3 2 3 6 2" xfId="17594"/>
    <cellStyle name="20% - Accent3 3 2 3 7" xfId="13707"/>
    <cellStyle name="20% - Accent3 3 2 4" xfId="782"/>
    <cellStyle name="20% - Accent3 3 2 4 2" xfId="783"/>
    <cellStyle name="20% - Accent3 3 2 4 2 2" xfId="784"/>
    <cellStyle name="20% - Accent3 3 2 4 2 2 2" xfId="9790"/>
    <cellStyle name="20% - Accent3 3 2 4 2 2 2 2" xfId="17606"/>
    <cellStyle name="20% - Accent3 3 2 4 2 2 3" xfId="13719"/>
    <cellStyle name="20% - Accent3 3 2 4 2 3" xfId="9789"/>
    <cellStyle name="20% - Accent3 3 2 4 2 3 2" xfId="17605"/>
    <cellStyle name="20% - Accent3 3 2 4 2 4" xfId="13718"/>
    <cellStyle name="20% - Accent3 3 2 4 3" xfId="785"/>
    <cellStyle name="20% - Accent3 3 2 4 3 2" xfId="9791"/>
    <cellStyle name="20% - Accent3 3 2 4 3 2 2" xfId="17607"/>
    <cellStyle name="20% - Accent3 3 2 4 3 3" xfId="13720"/>
    <cellStyle name="20% - Accent3 3 2 4 4" xfId="9788"/>
    <cellStyle name="20% - Accent3 3 2 4 4 2" xfId="17604"/>
    <cellStyle name="20% - Accent3 3 2 4 5" xfId="13717"/>
    <cellStyle name="20% - Accent3 3 2 5" xfId="786"/>
    <cellStyle name="20% - Accent3 3 2 5 2" xfId="787"/>
    <cellStyle name="20% - Accent3 3 2 5 2 2" xfId="9793"/>
    <cellStyle name="20% - Accent3 3 2 5 2 2 2" xfId="17609"/>
    <cellStyle name="20% - Accent3 3 2 5 2 3" xfId="13722"/>
    <cellStyle name="20% - Accent3 3 2 5 3" xfId="9792"/>
    <cellStyle name="20% - Accent3 3 2 5 3 2" xfId="17608"/>
    <cellStyle name="20% - Accent3 3 2 5 4" xfId="13721"/>
    <cellStyle name="20% - Accent3 3 2 6" xfId="788"/>
    <cellStyle name="20% - Accent3 3 2 6 2" xfId="9794"/>
    <cellStyle name="20% - Accent3 3 2 6 2 2" xfId="17610"/>
    <cellStyle name="20% - Accent3 3 2 6 3" xfId="13723"/>
    <cellStyle name="20% - Accent3 3 2 7" xfId="9763"/>
    <cellStyle name="20% - Accent3 3 2 7 2" xfId="17579"/>
    <cellStyle name="20% - Accent3 3 2 8" xfId="13692"/>
    <cellStyle name="20% - Accent3 3 3" xfId="789"/>
    <cellStyle name="20% - Accent3 3 3 2" xfId="790"/>
    <cellStyle name="20% - Accent3 3 3 2 2" xfId="791"/>
    <cellStyle name="20% - Accent3 3 3 2 2 2" xfId="792"/>
    <cellStyle name="20% - Accent3 3 3 2 2 2 2" xfId="9798"/>
    <cellStyle name="20% - Accent3 3 3 2 2 2 2 2" xfId="17614"/>
    <cellStyle name="20% - Accent3 3 3 2 2 2 3" xfId="13727"/>
    <cellStyle name="20% - Accent3 3 3 2 2 3" xfId="9797"/>
    <cellStyle name="20% - Accent3 3 3 2 2 3 2" xfId="17613"/>
    <cellStyle name="20% - Accent3 3 3 2 2 4" xfId="13726"/>
    <cellStyle name="20% - Accent3 3 3 2 3" xfId="793"/>
    <cellStyle name="20% - Accent3 3 3 2 3 2" xfId="794"/>
    <cellStyle name="20% - Accent3 3 3 2 3 2 2" xfId="9800"/>
    <cellStyle name="20% - Accent3 3 3 2 3 2 2 2" xfId="17616"/>
    <cellStyle name="20% - Accent3 3 3 2 3 2 3" xfId="13729"/>
    <cellStyle name="20% - Accent3 3 3 2 3 3" xfId="9799"/>
    <cellStyle name="20% - Accent3 3 3 2 3 3 2" xfId="17615"/>
    <cellStyle name="20% - Accent3 3 3 2 3 4" xfId="13728"/>
    <cellStyle name="20% - Accent3 3 3 2 4" xfId="795"/>
    <cellStyle name="20% - Accent3 3 3 2 4 2" xfId="9801"/>
    <cellStyle name="20% - Accent3 3 3 2 4 2 2" xfId="17617"/>
    <cellStyle name="20% - Accent3 3 3 2 4 3" xfId="13730"/>
    <cellStyle name="20% - Accent3 3 3 2 5" xfId="9796"/>
    <cellStyle name="20% - Accent3 3 3 2 5 2" xfId="17612"/>
    <cellStyle name="20% - Accent3 3 3 2 6" xfId="13725"/>
    <cellStyle name="20% - Accent3 3 3 3" xfId="796"/>
    <cellStyle name="20% - Accent3 3 3 3 2" xfId="797"/>
    <cellStyle name="20% - Accent3 3 3 3 2 2" xfId="798"/>
    <cellStyle name="20% - Accent3 3 3 3 2 2 2" xfId="9804"/>
    <cellStyle name="20% - Accent3 3 3 3 2 2 2 2" xfId="17620"/>
    <cellStyle name="20% - Accent3 3 3 3 2 2 3" xfId="13733"/>
    <cellStyle name="20% - Accent3 3 3 3 2 3" xfId="9803"/>
    <cellStyle name="20% - Accent3 3 3 3 2 3 2" xfId="17619"/>
    <cellStyle name="20% - Accent3 3 3 3 2 4" xfId="13732"/>
    <cellStyle name="20% - Accent3 3 3 3 3" xfId="799"/>
    <cellStyle name="20% - Accent3 3 3 3 3 2" xfId="9805"/>
    <cellStyle name="20% - Accent3 3 3 3 3 2 2" xfId="17621"/>
    <cellStyle name="20% - Accent3 3 3 3 3 3" xfId="13734"/>
    <cellStyle name="20% - Accent3 3 3 3 4" xfId="9802"/>
    <cellStyle name="20% - Accent3 3 3 3 4 2" xfId="17618"/>
    <cellStyle name="20% - Accent3 3 3 3 5" xfId="13731"/>
    <cellStyle name="20% - Accent3 3 3 4" xfId="800"/>
    <cellStyle name="20% - Accent3 3 3 4 2" xfId="801"/>
    <cellStyle name="20% - Accent3 3 3 4 2 2" xfId="9807"/>
    <cellStyle name="20% - Accent3 3 3 4 2 2 2" xfId="17623"/>
    <cellStyle name="20% - Accent3 3 3 4 2 3" xfId="13736"/>
    <cellStyle name="20% - Accent3 3 3 4 3" xfId="9806"/>
    <cellStyle name="20% - Accent3 3 3 4 3 2" xfId="17622"/>
    <cellStyle name="20% - Accent3 3 3 4 4" xfId="13735"/>
    <cellStyle name="20% - Accent3 3 3 5" xfId="802"/>
    <cellStyle name="20% - Accent3 3 3 5 2" xfId="9808"/>
    <cellStyle name="20% - Accent3 3 3 5 2 2" xfId="17624"/>
    <cellStyle name="20% - Accent3 3 3 5 3" xfId="13737"/>
    <cellStyle name="20% - Accent3 3 3 6" xfId="9795"/>
    <cellStyle name="20% - Accent3 3 3 6 2" xfId="17611"/>
    <cellStyle name="20% - Accent3 3 3 7" xfId="13724"/>
    <cellStyle name="20% - Accent3 3 4" xfId="803"/>
    <cellStyle name="20% - Accent3 3 4 2" xfId="804"/>
    <cellStyle name="20% - Accent3 3 4 2 2" xfId="805"/>
    <cellStyle name="20% - Accent3 3 4 2 2 2" xfId="806"/>
    <cellStyle name="20% - Accent3 3 4 2 2 2 2" xfId="9812"/>
    <cellStyle name="20% - Accent3 3 4 2 2 2 2 2" xfId="17628"/>
    <cellStyle name="20% - Accent3 3 4 2 2 2 3" xfId="13741"/>
    <cellStyle name="20% - Accent3 3 4 2 2 3" xfId="9811"/>
    <cellStyle name="20% - Accent3 3 4 2 2 3 2" xfId="17627"/>
    <cellStyle name="20% - Accent3 3 4 2 2 4" xfId="13740"/>
    <cellStyle name="20% - Accent3 3 4 2 3" xfId="807"/>
    <cellStyle name="20% - Accent3 3 4 2 3 2" xfId="9813"/>
    <cellStyle name="20% - Accent3 3 4 2 3 2 2" xfId="17629"/>
    <cellStyle name="20% - Accent3 3 4 2 3 3" xfId="13742"/>
    <cellStyle name="20% - Accent3 3 4 2 4" xfId="9810"/>
    <cellStyle name="20% - Accent3 3 4 2 4 2" xfId="17626"/>
    <cellStyle name="20% - Accent3 3 4 2 5" xfId="13739"/>
    <cellStyle name="20% - Accent3 3 4 3" xfId="808"/>
    <cellStyle name="20% - Accent3 3 4 3 2" xfId="809"/>
    <cellStyle name="20% - Accent3 3 4 3 2 2" xfId="9815"/>
    <cellStyle name="20% - Accent3 3 4 3 2 2 2" xfId="17631"/>
    <cellStyle name="20% - Accent3 3 4 3 2 3" xfId="13744"/>
    <cellStyle name="20% - Accent3 3 4 3 3" xfId="9814"/>
    <cellStyle name="20% - Accent3 3 4 3 3 2" xfId="17630"/>
    <cellStyle name="20% - Accent3 3 4 3 4" xfId="13743"/>
    <cellStyle name="20% - Accent3 3 4 4" xfId="810"/>
    <cellStyle name="20% - Accent3 3 4 4 2" xfId="9816"/>
    <cellStyle name="20% - Accent3 3 4 4 2 2" xfId="17632"/>
    <cellStyle name="20% - Accent3 3 4 4 3" xfId="13745"/>
    <cellStyle name="20% - Accent3 3 4 5" xfId="9809"/>
    <cellStyle name="20% - Accent3 3 4 5 2" xfId="17625"/>
    <cellStyle name="20% - Accent3 3 4 6" xfId="13738"/>
    <cellStyle name="20% - Accent3 3 5" xfId="811"/>
    <cellStyle name="20% - Accent3 3 5 2" xfId="812"/>
    <cellStyle name="20% - Accent3 3 5 2 2" xfId="813"/>
    <cellStyle name="20% - Accent3 3 5 2 2 2" xfId="814"/>
    <cellStyle name="20% - Accent3 3 5 2 2 2 2" xfId="9820"/>
    <cellStyle name="20% - Accent3 3 5 2 2 2 2 2" xfId="17636"/>
    <cellStyle name="20% - Accent3 3 5 2 2 2 3" xfId="13749"/>
    <cellStyle name="20% - Accent3 3 5 2 2 3" xfId="9819"/>
    <cellStyle name="20% - Accent3 3 5 2 2 3 2" xfId="17635"/>
    <cellStyle name="20% - Accent3 3 5 2 2 4" xfId="13748"/>
    <cellStyle name="20% - Accent3 3 5 2 3" xfId="815"/>
    <cellStyle name="20% - Accent3 3 5 2 3 2" xfId="9821"/>
    <cellStyle name="20% - Accent3 3 5 2 3 2 2" xfId="17637"/>
    <cellStyle name="20% - Accent3 3 5 2 3 3" xfId="13750"/>
    <cellStyle name="20% - Accent3 3 5 2 4" xfId="9818"/>
    <cellStyle name="20% - Accent3 3 5 2 4 2" xfId="17634"/>
    <cellStyle name="20% - Accent3 3 5 2 5" xfId="13747"/>
    <cellStyle name="20% - Accent3 3 5 3" xfId="816"/>
    <cellStyle name="20% - Accent3 3 5 3 2" xfId="817"/>
    <cellStyle name="20% - Accent3 3 5 3 2 2" xfId="9823"/>
    <cellStyle name="20% - Accent3 3 5 3 2 2 2" xfId="17639"/>
    <cellStyle name="20% - Accent3 3 5 3 2 3" xfId="13752"/>
    <cellStyle name="20% - Accent3 3 5 3 3" xfId="9822"/>
    <cellStyle name="20% - Accent3 3 5 3 3 2" xfId="17638"/>
    <cellStyle name="20% - Accent3 3 5 3 4" xfId="13751"/>
    <cellStyle name="20% - Accent3 3 5 4" xfId="818"/>
    <cellStyle name="20% - Accent3 3 5 4 2" xfId="819"/>
    <cellStyle name="20% - Accent3 3 5 4 2 2" xfId="9825"/>
    <cellStyle name="20% - Accent3 3 5 4 2 2 2" xfId="17641"/>
    <cellStyle name="20% - Accent3 3 5 4 2 3" xfId="13754"/>
    <cellStyle name="20% - Accent3 3 5 4 3" xfId="9824"/>
    <cellStyle name="20% - Accent3 3 5 4 3 2" xfId="17640"/>
    <cellStyle name="20% - Accent3 3 5 4 4" xfId="13753"/>
    <cellStyle name="20% - Accent3 3 5 5" xfId="820"/>
    <cellStyle name="20% - Accent3 3 5 5 2" xfId="9826"/>
    <cellStyle name="20% - Accent3 3 5 5 2 2" xfId="17642"/>
    <cellStyle name="20% - Accent3 3 5 5 3" xfId="13755"/>
    <cellStyle name="20% - Accent3 3 5 6" xfId="9817"/>
    <cellStyle name="20% - Accent3 3 5 6 2" xfId="17633"/>
    <cellStyle name="20% - Accent3 3 5 7" xfId="13746"/>
    <cellStyle name="20% - Accent3 3 6" xfId="821"/>
    <cellStyle name="20% - Accent3 3 6 2" xfId="822"/>
    <cellStyle name="20% - Accent3 3 6 2 2" xfId="823"/>
    <cellStyle name="20% - Accent3 3 6 2 2 2" xfId="9829"/>
    <cellStyle name="20% - Accent3 3 6 2 2 2 2" xfId="17645"/>
    <cellStyle name="20% - Accent3 3 6 2 2 3" xfId="13758"/>
    <cellStyle name="20% - Accent3 3 6 2 3" xfId="9828"/>
    <cellStyle name="20% - Accent3 3 6 2 3 2" xfId="17644"/>
    <cellStyle name="20% - Accent3 3 6 2 4" xfId="13757"/>
    <cellStyle name="20% - Accent3 3 6 3" xfId="824"/>
    <cellStyle name="20% - Accent3 3 6 3 2" xfId="9830"/>
    <cellStyle name="20% - Accent3 3 6 3 2 2" xfId="17646"/>
    <cellStyle name="20% - Accent3 3 6 3 3" xfId="13759"/>
    <cellStyle name="20% - Accent3 3 6 4" xfId="9827"/>
    <cellStyle name="20% - Accent3 3 6 4 2" xfId="17643"/>
    <cellStyle name="20% - Accent3 3 6 5" xfId="13756"/>
    <cellStyle name="20% - Accent3 3 7" xfId="825"/>
    <cellStyle name="20% - Accent3 3 7 2" xfId="826"/>
    <cellStyle name="20% - Accent3 3 7 2 2" xfId="9832"/>
    <cellStyle name="20% - Accent3 3 7 2 2 2" xfId="17648"/>
    <cellStyle name="20% - Accent3 3 7 2 3" xfId="13761"/>
    <cellStyle name="20% - Accent3 3 7 3" xfId="9831"/>
    <cellStyle name="20% - Accent3 3 7 3 2" xfId="17647"/>
    <cellStyle name="20% - Accent3 3 7 4" xfId="13760"/>
    <cellStyle name="20% - Accent3 3 8" xfId="827"/>
    <cellStyle name="20% - Accent3 3 8 2" xfId="9833"/>
    <cellStyle name="20% - Accent3 3 8 2 2" xfId="17649"/>
    <cellStyle name="20% - Accent3 3 8 3" xfId="13762"/>
    <cellStyle name="20% - Accent3 3 9" xfId="828"/>
    <cellStyle name="20% - Accent3 3 9 2" xfId="9834"/>
    <cellStyle name="20% - Accent3 3 9 2 2" xfId="17650"/>
    <cellStyle name="20% - Accent3 3 9 3" xfId="13763"/>
    <cellStyle name="20% - Accent3 4" xfId="829"/>
    <cellStyle name="20% - Accent3 4 2" xfId="830"/>
    <cellStyle name="20% - Accent3 4 2 2" xfId="831"/>
    <cellStyle name="20% - Accent3 4 2 2 2" xfId="832"/>
    <cellStyle name="20% - Accent3 4 2 2 2 2" xfId="833"/>
    <cellStyle name="20% - Accent3 4 2 2 2 2 2" xfId="9839"/>
    <cellStyle name="20% - Accent3 4 2 2 2 2 2 2" xfId="17655"/>
    <cellStyle name="20% - Accent3 4 2 2 2 2 3" xfId="13768"/>
    <cellStyle name="20% - Accent3 4 2 2 2 3" xfId="9838"/>
    <cellStyle name="20% - Accent3 4 2 2 2 3 2" xfId="17654"/>
    <cellStyle name="20% - Accent3 4 2 2 2 4" xfId="13767"/>
    <cellStyle name="20% - Accent3 4 2 2 3" xfId="834"/>
    <cellStyle name="20% - Accent3 4 2 2 3 2" xfId="835"/>
    <cellStyle name="20% - Accent3 4 2 2 3 2 2" xfId="9841"/>
    <cellStyle name="20% - Accent3 4 2 2 3 2 2 2" xfId="17657"/>
    <cellStyle name="20% - Accent3 4 2 2 3 2 3" xfId="13770"/>
    <cellStyle name="20% - Accent3 4 2 2 3 3" xfId="9840"/>
    <cellStyle name="20% - Accent3 4 2 2 3 3 2" xfId="17656"/>
    <cellStyle name="20% - Accent3 4 2 2 3 4" xfId="13769"/>
    <cellStyle name="20% - Accent3 4 2 2 4" xfId="836"/>
    <cellStyle name="20% - Accent3 4 2 2 4 2" xfId="9842"/>
    <cellStyle name="20% - Accent3 4 2 2 4 2 2" xfId="17658"/>
    <cellStyle name="20% - Accent3 4 2 2 4 3" xfId="13771"/>
    <cellStyle name="20% - Accent3 4 2 2 5" xfId="9837"/>
    <cellStyle name="20% - Accent3 4 2 2 5 2" xfId="17653"/>
    <cellStyle name="20% - Accent3 4 2 2 6" xfId="13766"/>
    <cellStyle name="20% - Accent3 4 2 3" xfId="837"/>
    <cellStyle name="20% - Accent3 4 2 3 2" xfId="838"/>
    <cellStyle name="20% - Accent3 4 2 3 2 2" xfId="839"/>
    <cellStyle name="20% - Accent3 4 2 3 2 2 2" xfId="9845"/>
    <cellStyle name="20% - Accent3 4 2 3 2 2 2 2" xfId="17661"/>
    <cellStyle name="20% - Accent3 4 2 3 2 2 3" xfId="13774"/>
    <cellStyle name="20% - Accent3 4 2 3 2 3" xfId="9844"/>
    <cellStyle name="20% - Accent3 4 2 3 2 3 2" xfId="17660"/>
    <cellStyle name="20% - Accent3 4 2 3 2 4" xfId="13773"/>
    <cellStyle name="20% - Accent3 4 2 3 3" xfId="840"/>
    <cellStyle name="20% - Accent3 4 2 3 3 2" xfId="9846"/>
    <cellStyle name="20% - Accent3 4 2 3 3 2 2" xfId="17662"/>
    <cellStyle name="20% - Accent3 4 2 3 3 3" xfId="13775"/>
    <cellStyle name="20% - Accent3 4 2 3 4" xfId="9843"/>
    <cellStyle name="20% - Accent3 4 2 3 4 2" xfId="17659"/>
    <cellStyle name="20% - Accent3 4 2 3 5" xfId="13772"/>
    <cellStyle name="20% - Accent3 4 2 4" xfId="841"/>
    <cellStyle name="20% - Accent3 4 2 4 2" xfId="842"/>
    <cellStyle name="20% - Accent3 4 2 4 2 2" xfId="9848"/>
    <cellStyle name="20% - Accent3 4 2 4 2 2 2" xfId="17664"/>
    <cellStyle name="20% - Accent3 4 2 4 2 3" xfId="13777"/>
    <cellStyle name="20% - Accent3 4 2 4 3" xfId="9847"/>
    <cellStyle name="20% - Accent3 4 2 4 3 2" xfId="17663"/>
    <cellStyle name="20% - Accent3 4 2 4 4" xfId="13776"/>
    <cellStyle name="20% - Accent3 4 2 5" xfId="843"/>
    <cellStyle name="20% - Accent3 4 2 5 2" xfId="9849"/>
    <cellStyle name="20% - Accent3 4 2 5 2 2" xfId="17665"/>
    <cellStyle name="20% - Accent3 4 2 5 3" xfId="13778"/>
    <cellStyle name="20% - Accent3 4 2 6" xfId="9836"/>
    <cellStyle name="20% - Accent3 4 2 6 2" xfId="17652"/>
    <cellStyle name="20% - Accent3 4 2 7" xfId="13765"/>
    <cellStyle name="20% - Accent3 4 3" xfId="844"/>
    <cellStyle name="20% - Accent3 4 3 2" xfId="845"/>
    <cellStyle name="20% - Accent3 4 3 2 2" xfId="846"/>
    <cellStyle name="20% - Accent3 4 3 2 2 2" xfId="847"/>
    <cellStyle name="20% - Accent3 4 3 2 2 2 2" xfId="9853"/>
    <cellStyle name="20% - Accent3 4 3 2 2 2 2 2" xfId="17669"/>
    <cellStyle name="20% - Accent3 4 3 2 2 2 3" xfId="13782"/>
    <cellStyle name="20% - Accent3 4 3 2 2 3" xfId="9852"/>
    <cellStyle name="20% - Accent3 4 3 2 2 3 2" xfId="17668"/>
    <cellStyle name="20% - Accent3 4 3 2 2 4" xfId="13781"/>
    <cellStyle name="20% - Accent3 4 3 2 3" xfId="848"/>
    <cellStyle name="20% - Accent3 4 3 2 3 2" xfId="9854"/>
    <cellStyle name="20% - Accent3 4 3 2 3 2 2" xfId="17670"/>
    <cellStyle name="20% - Accent3 4 3 2 3 3" xfId="13783"/>
    <cellStyle name="20% - Accent3 4 3 2 4" xfId="9851"/>
    <cellStyle name="20% - Accent3 4 3 2 4 2" xfId="17667"/>
    <cellStyle name="20% - Accent3 4 3 2 5" xfId="13780"/>
    <cellStyle name="20% - Accent3 4 3 3" xfId="849"/>
    <cellStyle name="20% - Accent3 4 3 3 2" xfId="850"/>
    <cellStyle name="20% - Accent3 4 3 3 2 2" xfId="9856"/>
    <cellStyle name="20% - Accent3 4 3 3 2 2 2" xfId="17672"/>
    <cellStyle name="20% - Accent3 4 3 3 2 3" xfId="13785"/>
    <cellStyle name="20% - Accent3 4 3 3 3" xfId="9855"/>
    <cellStyle name="20% - Accent3 4 3 3 3 2" xfId="17671"/>
    <cellStyle name="20% - Accent3 4 3 3 4" xfId="13784"/>
    <cellStyle name="20% - Accent3 4 3 4" xfId="851"/>
    <cellStyle name="20% - Accent3 4 3 4 2" xfId="852"/>
    <cellStyle name="20% - Accent3 4 3 4 2 2" xfId="9858"/>
    <cellStyle name="20% - Accent3 4 3 4 2 2 2" xfId="17674"/>
    <cellStyle name="20% - Accent3 4 3 4 2 3" xfId="13787"/>
    <cellStyle name="20% - Accent3 4 3 4 3" xfId="9857"/>
    <cellStyle name="20% - Accent3 4 3 4 3 2" xfId="17673"/>
    <cellStyle name="20% - Accent3 4 3 4 4" xfId="13786"/>
    <cellStyle name="20% - Accent3 4 3 5" xfId="853"/>
    <cellStyle name="20% - Accent3 4 3 5 2" xfId="9859"/>
    <cellStyle name="20% - Accent3 4 3 5 2 2" xfId="17675"/>
    <cellStyle name="20% - Accent3 4 3 5 3" xfId="13788"/>
    <cellStyle name="20% - Accent3 4 3 6" xfId="9850"/>
    <cellStyle name="20% - Accent3 4 3 6 2" xfId="17666"/>
    <cellStyle name="20% - Accent3 4 3 7" xfId="13779"/>
    <cellStyle name="20% - Accent3 4 4" xfId="854"/>
    <cellStyle name="20% - Accent3 4 4 2" xfId="855"/>
    <cellStyle name="20% - Accent3 4 4 2 2" xfId="856"/>
    <cellStyle name="20% - Accent3 4 4 2 2 2" xfId="9862"/>
    <cellStyle name="20% - Accent3 4 4 2 2 2 2" xfId="17678"/>
    <cellStyle name="20% - Accent3 4 4 2 2 3" xfId="13791"/>
    <cellStyle name="20% - Accent3 4 4 2 3" xfId="9861"/>
    <cellStyle name="20% - Accent3 4 4 2 3 2" xfId="17677"/>
    <cellStyle name="20% - Accent3 4 4 2 4" xfId="13790"/>
    <cellStyle name="20% - Accent3 4 4 3" xfId="857"/>
    <cellStyle name="20% - Accent3 4 4 3 2" xfId="9863"/>
    <cellStyle name="20% - Accent3 4 4 3 2 2" xfId="17679"/>
    <cellStyle name="20% - Accent3 4 4 3 3" xfId="13792"/>
    <cellStyle name="20% - Accent3 4 4 4" xfId="9860"/>
    <cellStyle name="20% - Accent3 4 4 4 2" xfId="17676"/>
    <cellStyle name="20% - Accent3 4 4 5" xfId="13789"/>
    <cellStyle name="20% - Accent3 4 5" xfId="858"/>
    <cellStyle name="20% - Accent3 4 5 2" xfId="859"/>
    <cellStyle name="20% - Accent3 4 5 2 2" xfId="9865"/>
    <cellStyle name="20% - Accent3 4 5 2 2 2" xfId="17681"/>
    <cellStyle name="20% - Accent3 4 5 2 3" xfId="13794"/>
    <cellStyle name="20% - Accent3 4 5 3" xfId="9864"/>
    <cellStyle name="20% - Accent3 4 5 3 2" xfId="17680"/>
    <cellStyle name="20% - Accent3 4 5 4" xfId="13793"/>
    <cellStyle name="20% - Accent3 4 6" xfId="860"/>
    <cellStyle name="20% - Accent3 4 6 2" xfId="9866"/>
    <cellStyle name="20% - Accent3 4 6 2 2" xfId="17682"/>
    <cellStyle name="20% - Accent3 4 6 3" xfId="13795"/>
    <cellStyle name="20% - Accent3 4 7" xfId="9835"/>
    <cellStyle name="20% - Accent3 4 7 2" xfId="17651"/>
    <cellStyle name="20% - Accent3 4 8" xfId="13764"/>
    <cellStyle name="20% - Accent3 5" xfId="861"/>
    <cellStyle name="20% - Accent3 5 2" xfId="862"/>
    <cellStyle name="20% - Accent3 5 2 2" xfId="863"/>
    <cellStyle name="20% - Accent3 5 2 2 2" xfId="864"/>
    <cellStyle name="20% - Accent3 5 2 2 2 2" xfId="9870"/>
    <cellStyle name="20% - Accent3 5 2 2 2 2 2" xfId="17686"/>
    <cellStyle name="20% - Accent3 5 2 2 2 3" xfId="13799"/>
    <cellStyle name="20% - Accent3 5 2 2 3" xfId="9869"/>
    <cellStyle name="20% - Accent3 5 2 2 3 2" xfId="17685"/>
    <cellStyle name="20% - Accent3 5 2 2 4" xfId="13798"/>
    <cellStyle name="20% - Accent3 5 2 3" xfId="865"/>
    <cellStyle name="20% - Accent3 5 2 3 2" xfId="866"/>
    <cellStyle name="20% - Accent3 5 2 3 2 2" xfId="9872"/>
    <cellStyle name="20% - Accent3 5 2 3 2 2 2" xfId="17688"/>
    <cellStyle name="20% - Accent3 5 2 3 2 3" xfId="13801"/>
    <cellStyle name="20% - Accent3 5 2 3 3" xfId="9871"/>
    <cellStyle name="20% - Accent3 5 2 3 3 2" xfId="17687"/>
    <cellStyle name="20% - Accent3 5 2 3 4" xfId="13800"/>
    <cellStyle name="20% - Accent3 5 2 4" xfId="867"/>
    <cellStyle name="20% - Accent3 5 2 4 2" xfId="9873"/>
    <cellStyle name="20% - Accent3 5 2 4 2 2" xfId="17689"/>
    <cellStyle name="20% - Accent3 5 2 4 3" xfId="13802"/>
    <cellStyle name="20% - Accent3 5 2 5" xfId="9868"/>
    <cellStyle name="20% - Accent3 5 2 5 2" xfId="17684"/>
    <cellStyle name="20% - Accent3 5 2 6" xfId="13797"/>
    <cellStyle name="20% - Accent3 5 3" xfId="868"/>
    <cellStyle name="20% - Accent3 5 3 2" xfId="869"/>
    <cellStyle name="20% - Accent3 5 3 2 2" xfId="870"/>
    <cellStyle name="20% - Accent3 5 3 2 2 2" xfId="9876"/>
    <cellStyle name="20% - Accent3 5 3 2 2 2 2" xfId="17692"/>
    <cellStyle name="20% - Accent3 5 3 2 2 3" xfId="13805"/>
    <cellStyle name="20% - Accent3 5 3 2 3" xfId="9875"/>
    <cellStyle name="20% - Accent3 5 3 2 3 2" xfId="17691"/>
    <cellStyle name="20% - Accent3 5 3 2 4" xfId="13804"/>
    <cellStyle name="20% - Accent3 5 3 3" xfId="871"/>
    <cellStyle name="20% - Accent3 5 3 3 2" xfId="9877"/>
    <cellStyle name="20% - Accent3 5 3 3 2 2" xfId="17693"/>
    <cellStyle name="20% - Accent3 5 3 3 3" xfId="13806"/>
    <cellStyle name="20% - Accent3 5 3 4" xfId="9874"/>
    <cellStyle name="20% - Accent3 5 3 4 2" xfId="17690"/>
    <cellStyle name="20% - Accent3 5 3 5" xfId="13803"/>
    <cellStyle name="20% - Accent3 5 4" xfId="872"/>
    <cellStyle name="20% - Accent3 5 4 2" xfId="873"/>
    <cellStyle name="20% - Accent3 5 4 2 2" xfId="9879"/>
    <cellStyle name="20% - Accent3 5 4 2 2 2" xfId="17695"/>
    <cellStyle name="20% - Accent3 5 4 2 3" xfId="13808"/>
    <cellStyle name="20% - Accent3 5 4 3" xfId="9878"/>
    <cellStyle name="20% - Accent3 5 4 3 2" xfId="17694"/>
    <cellStyle name="20% - Accent3 5 4 4" xfId="13807"/>
    <cellStyle name="20% - Accent3 5 5" xfId="874"/>
    <cellStyle name="20% - Accent3 5 5 2" xfId="9880"/>
    <cellStyle name="20% - Accent3 5 5 2 2" xfId="17696"/>
    <cellStyle name="20% - Accent3 5 5 3" xfId="13809"/>
    <cellStyle name="20% - Accent3 5 6" xfId="9867"/>
    <cellStyle name="20% - Accent3 5 6 2" xfId="17683"/>
    <cellStyle name="20% - Accent3 5 7" xfId="13796"/>
    <cellStyle name="20% - Accent3 6" xfId="875"/>
    <cellStyle name="20% - Accent3 6 2" xfId="876"/>
    <cellStyle name="20% - Accent3 6 2 2" xfId="877"/>
    <cellStyle name="20% - Accent3 6 2 2 2" xfId="878"/>
    <cellStyle name="20% - Accent3 6 2 2 2 2" xfId="9884"/>
    <cellStyle name="20% - Accent3 6 2 2 2 2 2" xfId="17700"/>
    <cellStyle name="20% - Accent3 6 2 2 2 3" xfId="13813"/>
    <cellStyle name="20% - Accent3 6 2 2 3" xfId="9883"/>
    <cellStyle name="20% - Accent3 6 2 2 3 2" xfId="17699"/>
    <cellStyle name="20% - Accent3 6 2 2 4" xfId="13812"/>
    <cellStyle name="20% - Accent3 6 2 3" xfId="879"/>
    <cellStyle name="20% - Accent3 6 2 3 2" xfId="9885"/>
    <cellStyle name="20% - Accent3 6 2 3 2 2" xfId="17701"/>
    <cellStyle name="20% - Accent3 6 2 3 3" xfId="13814"/>
    <cellStyle name="20% - Accent3 6 2 4" xfId="9882"/>
    <cellStyle name="20% - Accent3 6 2 4 2" xfId="17698"/>
    <cellStyle name="20% - Accent3 6 2 5" xfId="13811"/>
    <cellStyle name="20% - Accent3 6 3" xfId="880"/>
    <cellStyle name="20% - Accent3 6 3 2" xfId="881"/>
    <cellStyle name="20% - Accent3 6 3 2 2" xfId="9887"/>
    <cellStyle name="20% - Accent3 6 3 2 2 2" xfId="17703"/>
    <cellStyle name="20% - Accent3 6 3 2 3" xfId="13816"/>
    <cellStyle name="20% - Accent3 6 3 3" xfId="9886"/>
    <cellStyle name="20% - Accent3 6 3 3 2" xfId="17702"/>
    <cellStyle name="20% - Accent3 6 3 4" xfId="13815"/>
    <cellStyle name="20% - Accent3 6 4" xfId="882"/>
    <cellStyle name="20% - Accent3 6 4 2" xfId="9888"/>
    <cellStyle name="20% - Accent3 6 4 2 2" xfId="17704"/>
    <cellStyle name="20% - Accent3 6 4 3" xfId="13817"/>
    <cellStyle name="20% - Accent3 6 5" xfId="9881"/>
    <cellStyle name="20% - Accent3 6 5 2" xfId="17697"/>
    <cellStyle name="20% - Accent3 6 6" xfId="13810"/>
    <cellStyle name="20% - Accent3 7" xfId="883"/>
    <cellStyle name="20% - Accent3 7 2" xfId="884"/>
    <cellStyle name="20% - Accent3 7 2 2" xfId="885"/>
    <cellStyle name="20% - Accent3 7 2 2 2" xfId="886"/>
    <cellStyle name="20% - Accent3 7 2 2 2 2" xfId="9892"/>
    <cellStyle name="20% - Accent3 7 2 2 2 2 2" xfId="17708"/>
    <cellStyle name="20% - Accent3 7 2 2 2 3" xfId="13821"/>
    <cellStyle name="20% - Accent3 7 2 2 3" xfId="9891"/>
    <cellStyle name="20% - Accent3 7 2 2 3 2" xfId="17707"/>
    <cellStyle name="20% - Accent3 7 2 2 4" xfId="13820"/>
    <cellStyle name="20% - Accent3 7 2 3" xfId="887"/>
    <cellStyle name="20% - Accent3 7 2 3 2" xfId="9893"/>
    <cellStyle name="20% - Accent3 7 2 3 2 2" xfId="17709"/>
    <cellStyle name="20% - Accent3 7 2 3 3" xfId="13822"/>
    <cellStyle name="20% - Accent3 7 2 4" xfId="9890"/>
    <cellStyle name="20% - Accent3 7 2 4 2" xfId="17706"/>
    <cellStyle name="20% - Accent3 7 2 5" xfId="13819"/>
    <cellStyle name="20% - Accent3 7 3" xfId="888"/>
    <cellStyle name="20% - Accent3 7 3 2" xfId="889"/>
    <cellStyle name="20% - Accent3 7 3 2 2" xfId="9895"/>
    <cellStyle name="20% - Accent3 7 3 2 2 2" xfId="17711"/>
    <cellStyle name="20% - Accent3 7 3 2 3" xfId="13824"/>
    <cellStyle name="20% - Accent3 7 3 3" xfId="9894"/>
    <cellStyle name="20% - Accent3 7 3 3 2" xfId="17710"/>
    <cellStyle name="20% - Accent3 7 3 4" xfId="13823"/>
    <cellStyle name="20% - Accent3 7 4" xfId="890"/>
    <cellStyle name="20% - Accent3 7 4 2" xfId="9896"/>
    <cellStyle name="20% - Accent3 7 4 2 2" xfId="17712"/>
    <cellStyle name="20% - Accent3 7 4 3" xfId="13825"/>
    <cellStyle name="20% - Accent3 7 5" xfId="9889"/>
    <cellStyle name="20% - Accent3 7 5 2" xfId="17705"/>
    <cellStyle name="20% - Accent3 7 6" xfId="13818"/>
    <cellStyle name="20% - Accent3 8" xfId="891"/>
    <cellStyle name="20% - Accent3 8 2" xfId="892"/>
    <cellStyle name="20% - Accent3 8 2 2" xfId="893"/>
    <cellStyle name="20% - Accent3 8 2 2 2" xfId="9899"/>
    <cellStyle name="20% - Accent3 8 2 2 2 2" xfId="17715"/>
    <cellStyle name="20% - Accent3 8 2 2 3" xfId="13828"/>
    <cellStyle name="20% - Accent3 8 2 3" xfId="9898"/>
    <cellStyle name="20% - Accent3 8 2 3 2" xfId="17714"/>
    <cellStyle name="20% - Accent3 8 2 4" xfId="13827"/>
    <cellStyle name="20% - Accent3 8 3" xfId="894"/>
    <cellStyle name="20% - Accent3 8 3 2" xfId="9900"/>
    <cellStyle name="20% - Accent3 8 3 2 2" xfId="17716"/>
    <cellStyle name="20% - Accent3 8 3 3" xfId="13829"/>
    <cellStyle name="20% - Accent3 8 4" xfId="9897"/>
    <cellStyle name="20% - Accent3 8 4 2" xfId="17713"/>
    <cellStyle name="20% - Accent3 8 5" xfId="13826"/>
    <cellStyle name="20% - Accent3 9" xfId="895"/>
    <cellStyle name="20% - Accent3 9 2" xfId="896"/>
    <cellStyle name="20% - Accent3 9 2 2" xfId="9902"/>
    <cellStyle name="20% - Accent3 9 2 2 2" xfId="17718"/>
    <cellStyle name="20% - Accent3 9 2 3" xfId="13831"/>
    <cellStyle name="20% - Accent3 9 3" xfId="9901"/>
    <cellStyle name="20% - Accent3 9 3 2" xfId="17717"/>
    <cellStyle name="20% - Accent3 9 4" xfId="13830"/>
    <cellStyle name="20% - Accent4 10" xfId="897"/>
    <cellStyle name="20% - Accent4 10 2" xfId="898"/>
    <cellStyle name="20% - Accent4 10 2 2" xfId="9904"/>
    <cellStyle name="20% - Accent4 10 2 2 2" xfId="17720"/>
    <cellStyle name="20% - Accent4 10 2 3" xfId="13833"/>
    <cellStyle name="20% - Accent4 10 3" xfId="9903"/>
    <cellStyle name="20% - Accent4 10 3 2" xfId="17719"/>
    <cellStyle name="20% - Accent4 10 4" xfId="13832"/>
    <cellStyle name="20% - Accent4 11" xfId="899"/>
    <cellStyle name="20% - Accent4 11 2" xfId="9905"/>
    <cellStyle name="20% - Accent4 11 2 2" xfId="17721"/>
    <cellStyle name="20% - Accent4 11 3" xfId="13834"/>
    <cellStyle name="20% - Accent4 12" xfId="900"/>
    <cellStyle name="20% - Accent4 12 2" xfId="9906"/>
    <cellStyle name="20% - Accent4 12 2 2" xfId="17722"/>
    <cellStyle name="20% - Accent4 12 3" xfId="13835"/>
    <cellStyle name="20% - Accent4 2" xfId="901"/>
    <cellStyle name="20% - Accent4 2 10" xfId="902"/>
    <cellStyle name="20% - Accent4 2 10 2" xfId="9908"/>
    <cellStyle name="20% - Accent4 2 10 2 2" xfId="17724"/>
    <cellStyle name="20% - Accent4 2 10 3" xfId="13837"/>
    <cellStyle name="20% - Accent4 2 11" xfId="9907"/>
    <cellStyle name="20% - Accent4 2 11 2" xfId="17723"/>
    <cellStyle name="20% - Accent4 2 12" xfId="12947"/>
    <cellStyle name="20% - Accent4 2 13" xfId="13836"/>
    <cellStyle name="20% - Accent4 2 2" xfId="903"/>
    <cellStyle name="20% - Accent4 2 2 10" xfId="13838"/>
    <cellStyle name="20% - Accent4 2 2 2" xfId="904"/>
    <cellStyle name="20% - Accent4 2 2 2 2" xfId="905"/>
    <cellStyle name="20% - Accent4 2 2 2 2 2" xfId="906"/>
    <cellStyle name="20% - Accent4 2 2 2 2 2 2" xfId="907"/>
    <cellStyle name="20% - Accent4 2 2 2 2 2 2 2" xfId="908"/>
    <cellStyle name="20% - Accent4 2 2 2 2 2 2 2 2" xfId="9914"/>
    <cellStyle name="20% - Accent4 2 2 2 2 2 2 2 2 2" xfId="17730"/>
    <cellStyle name="20% - Accent4 2 2 2 2 2 2 2 3" xfId="13843"/>
    <cellStyle name="20% - Accent4 2 2 2 2 2 2 3" xfId="9913"/>
    <cellStyle name="20% - Accent4 2 2 2 2 2 2 3 2" xfId="17729"/>
    <cellStyle name="20% - Accent4 2 2 2 2 2 2 4" xfId="13842"/>
    <cellStyle name="20% - Accent4 2 2 2 2 2 3" xfId="909"/>
    <cellStyle name="20% - Accent4 2 2 2 2 2 3 2" xfId="910"/>
    <cellStyle name="20% - Accent4 2 2 2 2 2 3 2 2" xfId="9916"/>
    <cellStyle name="20% - Accent4 2 2 2 2 2 3 2 2 2" xfId="17732"/>
    <cellStyle name="20% - Accent4 2 2 2 2 2 3 2 3" xfId="13845"/>
    <cellStyle name="20% - Accent4 2 2 2 2 2 3 3" xfId="9915"/>
    <cellStyle name="20% - Accent4 2 2 2 2 2 3 3 2" xfId="17731"/>
    <cellStyle name="20% - Accent4 2 2 2 2 2 3 4" xfId="13844"/>
    <cellStyle name="20% - Accent4 2 2 2 2 2 4" xfId="911"/>
    <cellStyle name="20% - Accent4 2 2 2 2 2 4 2" xfId="9917"/>
    <cellStyle name="20% - Accent4 2 2 2 2 2 4 2 2" xfId="17733"/>
    <cellStyle name="20% - Accent4 2 2 2 2 2 4 3" xfId="13846"/>
    <cellStyle name="20% - Accent4 2 2 2 2 2 5" xfId="9912"/>
    <cellStyle name="20% - Accent4 2 2 2 2 2 5 2" xfId="17728"/>
    <cellStyle name="20% - Accent4 2 2 2 2 2 6" xfId="13841"/>
    <cellStyle name="20% - Accent4 2 2 2 2 3" xfId="912"/>
    <cellStyle name="20% - Accent4 2 2 2 2 3 2" xfId="913"/>
    <cellStyle name="20% - Accent4 2 2 2 2 3 2 2" xfId="914"/>
    <cellStyle name="20% - Accent4 2 2 2 2 3 2 2 2" xfId="9920"/>
    <cellStyle name="20% - Accent4 2 2 2 2 3 2 2 2 2" xfId="17736"/>
    <cellStyle name="20% - Accent4 2 2 2 2 3 2 2 3" xfId="13849"/>
    <cellStyle name="20% - Accent4 2 2 2 2 3 2 3" xfId="9919"/>
    <cellStyle name="20% - Accent4 2 2 2 2 3 2 3 2" xfId="17735"/>
    <cellStyle name="20% - Accent4 2 2 2 2 3 2 4" xfId="13848"/>
    <cellStyle name="20% - Accent4 2 2 2 2 3 3" xfId="915"/>
    <cellStyle name="20% - Accent4 2 2 2 2 3 3 2" xfId="9921"/>
    <cellStyle name="20% - Accent4 2 2 2 2 3 3 2 2" xfId="17737"/>
    <cellStyle name="20% - Accent4 2 2 2 2 3 3 3" xfId="13850"/>
    <cellStyle name="20% - Accent4 2 2 2 2 3 4" xfId="9918"/>
    <cellStyle name="20% - Accent4 2 2 2 2 3 4 2" xfId="17734"/>
    <cellStyle name="20% - Accent4 2 2 2 2 3 5" xfId="13847"/>
    <cellStyle name="20% - Accent4 2 2 2 2 4" xfId="916"/>
    <cellStyle name="20% - Accent4 2 2 2 2 4 2" xfId="917"/>
    <cellStyle name="20% - Accent4 2 2 2 2 4 2 2" xfId="9923"/>
    <cellStyle name="20% - Accent4 2 2 2 2 4 2 2 2" xfId="17739"/>
    <cellStyle name="20% - Accent4 2 2 2 2 4 2 3" xfId="13852"/>
    <cellStyle name="20% - Accent4 2 2 2 2 4 3" xfId="9922"/>
    <cellStyle name="20% - Accent4 2 2 2 2 4 3 2" xfId="17738"/>
    <cellStyle name="20% - Accent4 2 2 2 2 4 4" xfId="13851"/>
    <cellStyle name="20% - Accent4 2 2 2 2 5" xfId="918"/>
    <cellStyle name="20% - Accent4 2 2 2 2 5 2" xfId="9924"/>
    <cellStyle name="20% - Accent4 2 2 2 2 5 2 2" xfId="17740"/>
    <cellStyle name="20% - Accent4 2 2 2 2 5 3" xfId="13853"/>
    <cellStyle name="20% - Accent4 2 2 2 2 6" xfId="9911"/>
    <cellStyle name="20% - Accent4 2 2 2 2 6 2" xfId="17727"/>
    <cellStyle name="20% - Accent4 2 2 2 2 7" xfId="13840"/>
    <cellStyle name="20% - Accent4 2 2 2 3" xfId="919"/>
    <cellStyle name="20% - Accent4 2 2 2 3 2" xfId="920"/>
    <cellStyle name="20% - Accent4 2 2 2 3 2 2" xfId="921"/>
    <cellStyle name="20% - Accent4 2 2 2 3 2 2 2" xfId="922"/>
    <cellStyle name="20% - Accent4 2 2 2 3 2 2 2 2" xfId="9928"/>
    <cellStyle name="20% - Accent4 2 2 2 3 2 2 2 2 2" xfId="17744"/>
    <cellStyle name="20% - Accent4 2 2 2 3 2 2 2 3" xfId="13857"/>
    <cellStyle name="20% - Accent4 2 2 2 3 2 2 3" xfId="9927"/>
    <cellStyle name="20% - Accent4 2 2 2 3 2 2 3 2" xfId="17743"/>
    <cellStyle name="20% - Accent4 2 2 2 3 2 2 4" xfId="13856"/>
    <cellStyle name="20% - Accent4 2 2 2 3 2 3" xfId="923"/>
    <cellStyle name="20% - Accent4 2 2 2 3 2 3 2" xfId="9929"/>
    <cellStyle name="20% - Accent4 2 2 2 3 2 3 2 2" xfId="17745"/>
    <cellStyle name="20% - Accent4 2 2 2 3 2 3 3" xfId="13858"/>
    <cellStyle name="20% - Accent4 2 2 2 3 2 4" xfId="9926"/>
    <cellStyle name="20% - Accent4 2 2 2 3 2 4 2" xfId="17742"/>
    <cellStyle name="20% - Accent4 2 2 2 3 2 5" xfId="13855"/>
    <cellStyle name="20% - Accent4 2 2 2 3 3" xfId="924"/>
    <cellStyle name="20% - Accent4 2 2 2 3 3 2" xfId="925"/>
    <cellStyle name="20% - Accent4 2 2 2 3 3 2 2" xfId="9931"/>
    <cellStyle name="20% - Accent4 2 2 2 3 3 2 2 2" xfId="17747"/>
    <cellStyle name="20% - Accent4 2 2 2 3 3 2 3" xfId="13860"/>
    <cellStyle name="20% - Accent4 2 2 2 3 3 3" xfId="9930"/>
    <cellStyle name="20% - Accent4 2 2 2 3 3 3 2" xfId="17746"/>
    <cellStyle name="20% - Accent4 2 2 2 3 3 4" xfId="13859"/>
    <cellStyle name="20% - Accent4 2 2 2 3 4" xfId="926"/>
    <cellStyle name="20% - Accent4 2 2 2 3 4 2" xfId="927"/>
    <cellStyle name="20% - Accent4 2 2 2 3 4 2 2" xfId="9933"/>
    <cellStyle name="20% - Accent4 2 2 2 3 4 2 2 2" xfId="17749"/>
    <cellStyle name="20% - Accent4 2 2 2 3 4 2 3" xfId="13862"/>
    <cellStyle name="20% - Accent4 2 2 2 3 4 3" xfId="9932"/>
    <cellStyle name="20% - Accent4 2 2 2 3 4 3 2" xfId="17748"/>
    <cellStyle name="20% - Accent4 2 2 2 3 4 4" xfId="13861"/>
    <cellStyle name="20% - Accent4 2 2 2 3 5" xfId="928"/>
    <cellStyle name="20% - Accent4 2 2 2 3 5 2" xfId="9934"/>
    <cellStyle name="20% - Accent4 2 2 2 3 5 2 2" xfId="17750"/>
    <cellStyle name="20% - Accent4 2 2 2 3 5 3" xfId="13863"/>
    <cellStyle name="20% - Accent4 2 2 2 3 6" xfId="9925"/>
    <cellStyle name="20% - Accent4 2 2 2 3 6 2" xfId="17741"/>
    <cellStyle name="20% - Accent4 2 2 2 3 7" xfId="13854"/>
    <cellStyle name="20% - Accent4 2 2 2 4" xfId="929"/>
    <cellStyle name="20% - Accent4 2 2 2 4 2" xfId="930"/>
    <cellStyle name="20% - Accent4 2 2 2 4 2 2" xfId="931"/>
    <cellStyle name="20% - Accent4 2 2 2 4 2 2 2" xfId="9937"/>
    <cellStyle name="20% - Accent4 2 2 2 4 2 2 2 2" xfId="17753"/>
    <cellStyle name="20% - Accent4 2 2 2 4 2 2 3" xfId="13866"/>
    <cellStyle name="20% - Accent4 2 2 2 4 2 3" xfId="9936"/>
    <cellStyle name="20% - Accent4 2 2 2 4 2 3 2" xfId="17752"/>
    <cellStyle name="20% - Accent4 2 2 2 4 2 4" xfId="13865"/>
    <cellStyle name="20% - Accent4 2 2 2 4 3" xfId="932"/>
    <cellStyle name="20% - Accent4 2 2 2 4 3 2" xfId="9938"/>
    <cellStyle name="20% - Accent4 2 2 2 4 3 2 2" xfId="17754"/>
    <cellStyle name="20% - Accent4 2 2 2 4 3 3" xfId="13867"/>
    <cellStyle name="20% - Accent4 2 2 2 4 4" xfId="9935"/>
    <cellStyle name="20% - Accent4 2 2 2 4 4 2" xfId="17751"/>
    <cellStyle name="20% - Accent4 2 2 2 4 5" xfId="13864"/>
    <cellStyle name="20% - Accent4 2 2 2 5" xfId="933"/>
    <cellStyle name="20% - Accent4 2 2 2 5 2" xfId="934"/>
    <cellStyle name="20% - Accent4 2 2 2 5 2 2" xfId="9940"/>
    <cellStyle name="20% - Accent4 2 2 2 5 2 2 2" xfId="17756"/>
    <cellStyle name="20% - Accent4 2 2 2 5 2 3" xfId="13869"/>
    <cellStyle name="20% - Accent4 2 2 2 5 3" xfId="9939"/>
    <cellStyle name="20% - Accent4 2 2 2 5 3 2" xfId="17755"/>
    <cellStyle name="20% - Accent4 2 2 2 5 4" xfId="13868"/>
    <cellStyle name="20% - Accent4 2 2 2 6" xfId="935"/>
    <cellStyle name="20% - Accent4 2 2 2 6 2" xfId="9941"/>
    <cellStyle name="20% - Accent4 2 2 2 6 2 2" xfId="17757"/>
    <cellStyle name="20% - Accent4 2 2 2 6 3" xfId="13870"/>
    <cellStyle name="20% - Accent4 2 2 2 7" xfId="9910"/>
    <cellStyle name="20% - Accent4 2 2 2 7 2" xfId="17726"/>
    <cellStyle name="20% - Accent4 2 2 2 8" xfId="13839"/>
    <cellStyle name="20% - Accent4 2 2 3" xfId="936"/>
    <cellStyle name="20% - Accent4 2 2 3 2" xfId="937"/>
    <cellStyle name="20% - Accent4 2 2 3 2 2" xfId="938"/>
    <cellStyle name="20% - Accent4 2 2 3 2 2 2" xfId="939"/>
    <cellStyle name="20% - Accent4 2 2 3 2 2 2 2" xfId="9945"/>
    <cellStyle name="20% - Accent4 2 2 3 2 2 2 2 2" xfId="17761"/>
    <cellStyle name="20% - Accent4 2 2 3 2 2 2 3" xfId="13874"/>
    <cellStyle name="20% - Accent4 2 2 3 2 2 3" xfId="9944"/>
    <cellStyle name="20% - Accent4 2 2 3 2 2 3 2" xfId="17760"/>
    <cellStyle name="20% - Accent4 2 2 3 2 2 4" xfId="13873"/>
    <cellStyle name="20% - Accent4 2 2 3 2 3" xfId="940"/>
    <cellStyle name="20% - Accent4 2 2 3 2 3 2" xfId="941"/>
    <cellStyle name="20% - Accent4 2 2 3 2 3 2 2" xfId="9947"/>
    <cellStyle name="20% - Accent4 2 2 3 2 3 2 2 2" xfId="17763"/>
    <cellStyle name="20% - Accent4 2 2 3 2 3 2 3" xfId="13876"/>
    <cellStyle name="20% - Accent4 2 2 3 2 3 3" xfId="9946"/>
    <cellStyle name="20% - Accent4 2 2 3 2 3 3 2" xfId="17762"/>
    <cellStyle name="20% - Accent4 2 2 3 2 3 4" xfId="13875"/>
    <cellStyle name="20% - Accent4 2 2 3 2 4" xfId="942"/>
    <cellStyle name="20% - Accent4 2 2 3 2 4 2" xfId="9948"/>
    <cellStyle name="20% - Accent4 2 2 3 2 4 2 2" xfId="17764"/>
    <cellStyle name="20% - Accent4 2 2 3 2 4 3" xfId="13877"/>
    <cellStyle name="20% - Accent4 2 2 3 2 5" xfId="9943"/>
    <cellStyle name="20% - Accent4 2 2 3 2 5 2" xfId="17759"/>
    <cellStyle name="20% - Accent4 2 2 3 2 6" xfId="13872"/>
    <cellStyle name="20% - Accent4 2 2 3 3" xfId="943"/>
    <cellStyle name="20% - Accent4 2 2 3 3 2" xfId="944"/>
    <cellStyle name="20% - Accent4 2 2 3 3 2 2" xfId="945"/>
    <cellStyle name="20% - Accent4 2 2 3 3 2 2 2" xfId="9951"/>
    <cellStyle name="20% - Accent4 2 2 3 3 2 2 2 2" xfId="17767"/>
    <cellStyle name="20% - Accent4 2 2 3 3 2 2 3" xfId="13880"/>
    <cellStyle name="20% - Accent4 2 2 3 3 2 3" xfId="9950"/>
    <cellStyle name="20% - Accent4 2 2 3 3 2 3 2" xfId="17766"/>
    <cellStyle name="20% - Accent4 2 2 3 3 2 4" xfId="13879"/>
    <cellStyle name="20% - Accent4 2 2 3 3 3" xfId="946"/>
    <cellStyle name="20% - Accent4 2 2 3 3 3 2" xfId="9952"/>
    <cellStyle name="20% - Accent4 2 2 3 3 3 2 2" xfId="17768"/>
    <cellStyle name="20% - Accent4 2 2 3 3 3 3" xfId="13881"/>
    <cellStyle name="20% - Accent4 2 2 3 3 4" xfId="9949"/>
    <cellStyle name="20% - Accent4 2 2 3 3 4 2" xfId="17765"/>
    <cellStyle name="20% - Accent4 2 2 3 3 5" xfId="13878"/>
    <cellStyle name="20% - Accent4 2 2 3 4" xfId="947"/>
    <cellStyle name="20% - Accent4 2 2 3 4 2" xfId="948"/>
    <cellStyle name="20% - Accent4 2 2 3 4 2 2" xfId="9954"/>
    <cellStyle name="20% - Accent4 2 2 3 4 2 2 2" xfId="17770"/>
    <cellStyle name="20% - Accent4 2 2 3 4 2 3" xfId="13883"/>
    <cellStyle name="20% - Accent4 2 2 3 4 3" xfId="9953"/>
    <cellStyle name="20% - Accent4 2 2 3 4 3 2" xfId="17769"/>
    <cellStyle name="20% - Accent4 2 2 3 4 4" xfId="13882"/>
    <cellStyle name="20% - Accent4 2 2 3 5" xfId="949"/>
    <cellStyle name="20% - Accent4 2 2 3 5 2" xfId="9955"/>
    <cellStyle name="20% - Accent4 2 2 3 5 2 2" xfId="17771"/>
    <cellStyle name="20% - Accent4 2 2 3 5 3" xfId="13884"/>
    <cellStyle name="20% - Accent4 2 2 3 6" xfId="9942"/>
    <cellStyle name="20% - Accent4 2 2 3 6 2" xfId="17758"/>
    <cellStyle name="20% - Accent4 2 2 3 7" xfId="13871"/>
    <cellStyle name="20% - Accent4 2 2 4" xfId="950"/>
    <cellStyle name="20% - Accent4 2 2 4 2" xfId="951"/>
    <cellStyle name="20% - Accent4 2 2 4 2 2" xfId="952"/>
    <cellStyle name="20% - Accent4 2 2 4 2 2 2" xfId="953"/>
    <cellStyle name="20% - Accent4 2 2 4 2 2 2 2" xfId="9959"/>
    <cellStyle name="20% - Accent4 2 2 4 2 2 2 2 2" xfId="17775"/>
    <cellStyle name="20% - Accent4 2 2 4 2 2 2 3" xfId="13888"/>
    <cellStyle name="20% - Accent4 2 2 4 2 2 3" xfId="9958"/>
    <cellStyle name="20% - Accent4 2 2 4 2 2 3 2" xfId="17774"/>
    <cellStyle name="20% - Accent4 2 2 4 2 2 4" xfId="13887"/>
    <cellStyle name="20% - Accent4 2 2 4 2 3" xfId="954"/>
    <cellStyle name="20% - Accent4 2 2 4 2 3 2" xfId="9960"/>
    <cellStyle name="20% - Accent4 2 2 4 2 3 2 2" xfId="17776"/>
    <cellStyle name="20% - Accent4 2 2 4 2 3 3" xfId="13889"/>
    <cellStyle name="20% - Accent4 2 2 4 2 4" xfId="9957"/>
    <cellStyle name="20% - Accent4 2 2 4 2 4 2" xfId="17773"/>
    <cellStyle name="20% - Accent4 2 2 4 2 5" xfId="13886"/>
    <cellStyle name="20% - Accent4 2 2 4 3" xfId="955"/>
    <cellStyle name="20% - Accent4 2 2 4 3 2" xfId="956"/>
    <cellStyle name="20% - Accent4 2 2 4 3 2 2" xfId="9962"/>
    <cellStyle name="20% - Accent4 2 2 4 3 2 2 2" xfId="17778"/>
    <cellStyle name="20% - Accent4 2 2 4 3 2 3" xfId="13891"/>
    <cellStyle name="20% - Accent4 2 2 4 3 3" xfId="9961"/>
    <cellStyle name="20% - Accent4 2 2 4 3 3 2" xfId="17777"/>
    <cellStyle name="20% - Accent4 2 2 4 3 4" xfId="13890"/>
    <cellStyle name="20% - Accent4 2 2 4 4" xfId="957"/>
    <cellStyle name="20% - Accent4 2 2 4 4 2" xfId="9963"/>
    <cellStyle name="20% - Accent4 2 2 4 4 2 2" xfId="17779"/>
    <cellStyle name="20% - Accent4 2 2 4 4 3" xfId="13892"/>
    <cellStyle name="20% - Accent4 2 2 4 5" xfId="9956"/>
    <cellStyle name="20% - Accent4 2 2 4 5 2" xfId="17772"/>
    <cellStyle name="20% - Accent4 2 2 4 6" xfId="13885"/>
    <cellStyle name="20% - Accent4 2 2 5" xfId="958"/>
    <cellStyle name="20% - Accent4 2 2 5 2" xfId="959"/>
    <cellStyle name="20% - Accent4 2 2 5 2 2" xfId="960"/>
    <cellStyle name="20% - Accent4 2 2 5 2 2 2" xfId="961"/>
    <cellStyle name="20% - Accent4 2 2 5 2 2 2 2" xfId="9967"/>
    <cellStyle name="20% - Accent4 2 2 5 2 2 2 2 2" xfId="17783"/>
    <cellStyle name="20% - Accent4 2 2 5 2 2 2 3" xfId="13896"/>
    <cellStyle name="20% - Accent4 2 2 5 2 2 3" xfId="9966"/>
    <cellStyle name="20% - Accent4 2 2 5 2 2 3 2" xfId="17782"/>
    <cellStyle name="20% - Accent4 2 2 5 2 2 4" xfId="13895"/>
    <cellStyle name="20% - Accent4 2 2 5 2 3" xfId="962"/>
    <cellStyle name="20% - Accent4 2 2 5 2 3 2" xfId="9968"/>
    <cellStyle name="20% - Accent4 2 2 5 2 3 2 2" xfId="17784"/>
    <cellStyle name="20% - Accent4 2 2 5 2 3 3" xfId="13897"/>
    <cellStyle name="20% - Accent4 2 2 5 2 4" xfId="9965"/>
    <cellStyle name="20% - Accent4 2 2 5 2 4 2" xfId="17781"/>
    <cellStyle name="20% - Accent4 2 2 5 2 5" xfId="13894"/>
    <cellStyle name="20% - Accent4 2 2 5 3" xfId="963"/>
    <cellStyle name="20% - Accent4 2 2 5 3 2" xfId="964"/>
    <cellStyle name="20% - Accent4 2 2 5 3 2 2" xfId="9970"/>
    <cellStyle name="20% - Accent4 2 2 5 3 2 2 2" xfId="17786"/>
    <cellStyle name="20% - Accent4 2 2 5 3 2 3" xfId="13899"/>
    <cellStyle name="20% - Accent4 2 2 5 3 3" xfId="9969"/>
    <cellStyle name="20% - Accent4 2 2 5 3 3 2" xfId="17785"/>
    <cellStyle name="20% - Accent4 2 2 5 3 4" xfId="13898"/>
    <cellStyle name="20% - Accent4 2 2 5 4" xfId="965"/>
    <cellStyle name="20% - Accent4 2 2 5 4 2" xfId="966"/>
    <cellStyle name="20% - Accent4 2 2 5 4 2 2" xfId="9972"/>
    <cellStyle name="20% - Accent4 2 2 5 4 2 2 2" xfId="17788"/>
    <cellStyle name="20% - Accent4 2 2 5 4 2 3" xfId="13901"/>
    <cellStyle name="20% - Accent4 2 2 5 4 3" xfId="9971"/>
    <cellStyle name="20% - Accent4 2 2 5 4 3 2" xfId="17787"/>
    <cellStyle name="20% - Accent4 2 2 5 4 4" xfId="13900"/>
    <cellStyle name="20% - Accent4 2 2 5 5" xfId="967"/>
    <cellStyle name="20% - Accent4 2 2 5 5 2" xfId="9973"/>
    <cellStyle name="20% - Accent4 2 2 5 5 2 2" xfId="17789"/>
    <cellStyle name="20% - Accent4 2 2 5 5 3" xfId="13902"/>
    <cellStyle name="20% - Accent4 2 2 5 6" xfId="9964"/>
    <cellStyle name="20% - Accent4 2 2 5 6 2" xfId="17780"/>
    <cellStyle name="20% - Accent4 2 2 5 7" xfId="13893"/>
    <cellStyle name="20% - Accent4 2 2 6" xfId="968"/>
    <cellStyle name="20% - Accent4 2 2 6 2" xfId="969"/>
    <cellStyle name="20% - Accent4 2 2 6 2 2" xfId="970"/>
    <cellStyle name="20% - Accent4 2 2 6 2 2 2" xfId="9976"/>
    <cellStyle name="20% - Accent4 2 2 6 2 2 2 2" xfId="17792"/>
    <cellStyle name="20% - Accent4 2 2 6 2 2 3" xfId="13905"/>
    <cellStyle name="20% - Accent4 2 2 6 2 3" xfId="9975"/>
    <cellStyle name="20% - Accent4 2 2 6 2 3 2" xfId="17791"/>
    <cellStyle name="20% - Accent4 2 2 6 2 4" xfId="13904"/>
    <cellStyle name="20% - Accent4 2 2 6 3" xfId="971"/>
    <cellStyle name="20% - Accent4 2 2 6 3 2" xfId="9977"/>
    <cellStyle name="20% - Accent4 2 2 6 3 2 2" xfId="17793"/>
    <cellStyle name="20% - Accent4 2 2 6 3 3" xfId="13906"/>
    <cellStyle name="20% - Accent4 2 2 6 4" xfId="9974"/>
    <cellStyle name="20% - Accent4 2 2 6 4 2" xfId="17790"/>
    <cellStyle name="20% - Accent4 2 2 6 5" xfId="13903"/>
    <cellStyle name="20% - Accent4 2 2 7" xfId="972"/>
    <cellStyle name="20% - Accent4 2 2 7 2" xfId="973"/>
    <cellStyle name="20% - Accent4 2 2 7 2 2" xfId="9979"/>
    <cellStyle name="20% - Accent4 2 2 7 2 2 2" xfId="17795"/>
    <cellStyle name="20% - Accent4 2 2 7 2 3" xfId="13908"/>
    <cellStyle name="20% - Accent4 2 2 7 3" xfId="9978"/>
    <cellStyle name="20% - Accent4 2 2 7 3 2" xfId="17794"/>
    <cellStyle name="20% - Accent4 2 2 7 4" xfId="13907"/>
    <cellStyle name="20% - Accent4 2 2 8" xfId="974"/>
    <cellStyle name="20% - Accent4 2 2 8 2" xfId="9980"/>
    <cellStyle name="20% - Accent4 2 2 8 2 2" xfId="17796"/>
    <cellStyle name="20% - Accent4 2 2 8 3" xfId="13909"/>
    <cellStyle name="20% - Accent4 2 2 9" xfId="9909"/>
    <cellStyle name="20% - Accent4 2 2 9 2" xfId="17725"/>
    <cellStyle name="20% - Accent4 2 3" xfId="975"/>
    <cellStyle name="20% - Accent4 2 3 2" xfId="976"/>
    <cellStyle name="20% - Accent4 2 3 2 2" xfId="977"/>
    <cellStyle name="20% - Accent4 2 3 2 2 2" xfId="978"/>
    <cellStyle name="20% - Accent4 2 3 2 2 2 2" xfId="979"/>
    <cellStyle name="20% - Accent4 2 3 2 2 2 2 2" xfId="9985"/>
    <cellStyle name="20% - Accent4 2 3 2 2 2 2 2 2" xfId="17801"/>
    <cellStyle name="20% - Accent4 2 3 2 2 2 2 3" xfId="13914"/>
    <cellStyle name="20% - Accent4 2 3 2 2 2 3" xfId="9984"/>
    <cellStyle name="20% - Accent4 2 3 2 2 2 3 2" xfId="17800"/>
    <cellStyle name="20% - Accent4 2 3 2 2 2 4" xfId="13913"/>
    <cellStyle name="20% - Accent4 2 3 2 2 3" xfId="980"/>
    <cellStyle name="20% - Accent4 2 3 2 2 3 2" xfId="981"/>
    <cellStyle name="20% - Accent4 2 3 2 2 3 2 2" xfId="9987"/>
    <cellStyle name="20% - Accent4 2 3 2 2 3 2 2 2" xfId="17803"/>
    <cellStyle name="20% - Accent4 2 3 2 2 3 2 3" xfId="13916"/>
    <cellStyle name="20% - Accent4 2 3 2 2 3 3" xfId="9986"/>
    <cellStyle name="20% - Accent4 2 3 2 2 3 3 2" xfId="17802"/>
    <cellStyle name="20% - Accent4 2 3 2 2 3 4" xfId="13915"/>
    <cellStyle name="20% - Accent4 2 3 2 2 4" xfId="982"/>
    <cellStyle name="20% - Accent4 2 3 2 2 4 2" xfId="9988"/>
    <cellStyle name="20% - Accent4 2 3 2 2 4 2 2" xfId="17804"/>
    <cellStyle name="20% - Accent4 2 3 2 2 4 3" xfId="13917"/>
    <cellStyle name="20% - Accent4 2 3 2 2 5" xfId="9983"/>
    <cellStyle name="20% - Accent4 2 3 2 2 5 2" xfId="17799"/>
    <cellStyle name="20% - Accent4 2 3 2 2 6" xfId="13912"/>
    <cellStyle name="20% - Accent4 2 3 2 3" xfId="983"/>
    <cellStyle name="20% - Accent4 2 3 2 3 2" xfId="984"/>
    <cellStyle name="20% - Accent4 2 3 2 3 2 2" xfId="985"/>
    <cellStyle name="20% - Accent4 2 3 2 3 2 2 2" xfId="9991"/>
    <cellStyle name="20% - Accent4 2 3 2 3 2 2 2 2" xfId="17807"/>
    <cellStyle name="20% - Accent4 2 3 2 3 2 2 3" xfId="13920"/>
    <cellStyle name="20% - Accent4 2 3 2 3 2 3" xfId="9990"/>
    <cellStyle name="20% - Accent4 2 3 2 3 2 3 2" xfId="17806"/>
    <cellStyle name="20% - Accent4 2 3 2 3 2 4" xfId="13919"/>
    <cellStyle name="20% - Accent4 2 3 2 3 3" xfId="986"/>
    <cellStyle name="20% - Accent4 2 3 2 3 3 2" xfId="9992"/>
    <cellStyle name="20% - Accent4 2 3 2 3 3 2 2" xfId="17808"/>
    <cellStyle name="20% - Accent4 2 3 2 3 3 3" xfId="13921"/>
    <cellStyle name="20% - Accent4 2 3 2 3 4" xfId="9989"/>
    <cellStyle name="20% - Accent4 2 3 2 3 4 2" xfId="17805"/>
    <cellStyle name="20% - Accent4 2 3 2 3 5" xfId="13918"/>
    <cellStyle name="20% - Accent4 2 3 2 4" xfId="987"/>
    <cellStyle name="20% - Accent4 2 3 2 4 2" xfId="988"/>
    <cellStyle name="20% - Accent4 2 3 2 4 2 2" xfId="9994"/>
    <cellStyle name="20% - Accent4 2 3 2 4 2 2 2" xfId="17810"/>
    <cellStyle name="20% - Accent4 2 3 2 4 2 3" xfId="13923"/>
    <cellStyle name="20% - Accent4 2 3 2 4 3" xfId="9993"/>
    <cellStyle name="20% - Accent4 2 3 2 4 3 2" xfId="17809"/>
    <cellStyle name="20% - Accent4 2 3 2 4 4" xfId="13922"/>
    <cellStyle name="20% - Accent4 2 3 2 5" xfId="989"/>
    <cellStyle name="20% - Accent4 2 3 2 5 2" xfId="9995"/>
    <cellStyle name="20% - Accent4 2 3 2 5 2 2" xfId="17811"/>
    <cellStyle name="20% - Accent4 2 3 2 5 3" xfId="13924"/>
    <cellStyle name="20% - Accent4 2 3 2 6" xfId="9982"/>
    <cellStyle name="20% - Accent4 2 3 2 6 2" xfId="17798"/>
    <cellStyle name="20% - Accent4 2 3 2 7" xfId="13911"/>
    <cellStyle name="20% - Accent4 2 3 3" xfId="990"/>
    <cellStyle name="20% - Accent4 2 3 3 2" xfId="991"/>
    <cellStyle name="20% - Accent4 2 3 3 2 2" xfId="992"/>
    <cellStyle name="20% - Accent4 2 3 3 2 2 2" xfId="993"/>
    <cellStyle name="20% - Accent4 2 3 3 2 2 2 2" xfId="9999"/>
    <cellStyle name="20% - Accent4 2 3 3 2 2 2 2 2" xfId="17815"/>
    <cellStyle name="20% - Accent4 2 3 3 2 2 2 3" xfId="13928"/>
    <cellStyle name="20% - Accent4 2 3 3 2 2 3" xfId="9998"/>
    <cellStyle name="20% - Accent4 2 3 3 2 2 3 2" xfId="17814"/>
    <cellStyle name="20% - Accent4 2 3 3 2 2 4" xfId="13927"/>
    <cellStyle name="20% - Accent4 2 3 3 2 3" xfId="994"/>
    <cellStyle name="20% - Accent4 2 3 3 2 3 2" xfId="10000"/>
    <cellStyle name="20% - Accent4 2 3 3 2 3 2 2" xfId="17816"/>
    <cellStyle name="20% - Accent4 2 3 3 2 3 3" xfId="13929"/>
    <cellStyle name="20% - Accent4 2 3 3 2 4" xfId="9997"/>
    <cellStyle name="20% - Accent4 2 3 3 2 4 2" xfId="17813"/>
    <cellStyle name="20% - Accent4 2 3 3 2 5" xfId="13926"/>
    <cellStyle name="20% - Accent4 2 3 3 3" xfId="995"/>
    <cellStyle name="20% - Accent4 2 3 3 3 2" xfId="996"/>
    <cellStyle name="20% - Accent4 2 3 3 3 2 2" xfId="10002"/>
    <cellStyle name="20% - Accent4 2 3 3 3 2 2 2" xfId="17818"/>
    <cellStyle name="20% - Accent4 2 3 3 3 2 3" xfId="13931"/>
    <cellStyle name="20% - Accent4 2 3 3 3 3" xfId="10001"/>
    <cellStyle name="20% - Accent4 2 3 3 3 3 2" xfId="17817"/>
    <cellStyle name="20% - Accent4 2 3 3 3 4" xfId="13930"/>
    <cellStyle name="20% - Accent4 2 3 3 4" xfId="997"/>
    <cellStyle name="20% - Accent4 2 3 3 4 2" xfId="998"/>
    <cellStyle name="20% - Accent4 2 3 3 4 2 2" xfId="10004"/>
    <cellStyle name="20% - Accent4 2 3 3 4 2 2 2" xfId="17820"/>
    <cellStyle name="20% - Accent4 2 3 3 4 2 3" xfId="13933"/>
    <cellStyle name="20% - Accent4 2 3 3 4 3" xfId="10003"/>
    <cellStyle name="20% - Accent4 2 3 3 4 3 2" xfId="17819"/>
    <cellStyle name="20% - Accent4 2 3 3 4 4" xfId="13932"/>
    <cellStyle name="20% - Accent4 2 3 3 5" xfId="999"/>
    <cellStyle name="20% - Accent4 2 3 3 5 2" xfId="10005"/>
    <cellStyle name="20% - Accent4 2 3 3 5 2 2" xfId="17821"/>
    <cellStyle name="20% - Accent4 2 3 3 5 3" xfId="13934"/>
    <cellStyle name="20% - Accent4 2 3 3 6" xfId="9996"/>
    <cellStyle name="20% - Accent4 2 3 3 6 2" xfId="17812"/>
    <cellStyle name="20% - Accent4 2 3 3 7" xfId="13925"/>
    <cellStyle name="20% - Accent4 2 3 4" xfId="1000"/>
    <cellStyle name="20% - Accent4 2 3 4 2" xfId="1001"/>
    <cellStyle name="20% - Accent4 2 3 4 2 2" xfId="1002"/>
    <cellStyle name="20% - Accent4 2 3 4 2 2 2" xfId="10008"/>
    <cellStyle name="20% - Accent4 2 3 4 2 2 2 2" xfId="17824"/>
    <cellStyle name="20% - Accent4 2 3 4 2 2 3" xfId="13937"/>
    <cellStyle name="20% - Accent4 2 3 4 2 3" xfId="10007"/>
    <cellStyle name="20% - Accent4 2 3 4 2 3 2" xfId="17823"/>
    <cellStyle name="20% - Accent4 2 3 4 2 4" xfId="13936"/>
    <cellStyle name="20% - Accent4 2 3 4 3" xfId="1003"/>
    <cellStyle name="20% - Accent4 2 3 4 3 2" xfId="10009"/>
    <cellStyle name="20% - Accent4 2 3 4 3 2 2" xfId="17825"/>
    <cellStyle name="20% - Accent4 2 3 4 3 3" xfId="13938"/>
    <cellStyle name="20% - Accent4 2 3 4 4" xfId="10006"/>
    <cellStyle name="20% - Accent4 2 3 4 4 2" xfId="17822"/>
    <cellStyle name="20% - Accent4 2 3 4 5" xfId="13935"/>
    <cellStyle name="20% - Accent4 2 3 5" xfId="1004"/>
    <cellStyle name="20% - Accent4 2 3 5 2" xfId="1005"/>
    <cellStyle name="20% - Accent4 2 3 5 2 2" xfId="10011"/>
    <cellStyle name="20% - Accent4 2 3 5 2 2 2" xfId="17827"/>
    <cellStyle name="20% - Accent4 2 3 5 2 3" xfId="13940"/>
    <cellStyle name="20% - Accent4 2 3 5 3" xfId="10010"/>
    <cellStyle name="20% - Accent4 2 3 5 3 2" xfId="17826"/>
    <cellStyle name="20% - Accent4 2 3 5 4" xfId="13939"/>
    <cellStyle name="20% - Accent4 2 3 6" xfId="1006"/>
    <cellStyle name="20% - Accent4 2 3 6 2" xfId="10012"/>
    <cellStyle name="20% - Accent4 2 3 6 2 2" xfId="17828"/>
    <cellStyle name="20% - Accent4 2 3 6 3" xfId="13941"/>
    <cellStyle name="20% - Accent4 2 3 7" xfId="9981"/>
    <cellStyle name="20% - Accent4 2 3 7 2" xfId="17797"/>
    <cellStyle name="20% - Accent4 2 3 8" xfId="13910"/>
    <cellStyle name="20% - Accent4 2 4" xfId="1007"/>
    <cellStyle name="20% - Accent4 2 4 2" xfId="1008"/>
    <cellStyle name="20% - Accent4 2 4 2 2" xfId="1009"/>
    <cellStyle name="20% - Accent4 2 4 2 2 2" xfId="1010"/>
    <cellStyle name="20% - Accent4 2 4 2 2 2 2" xfId="10016"/>
    <cellStyle name="20% - Accent4 2 4 2 2 2 2 2" xfId="17832"/>
    <cellStyle name="20% - Accent4 2 4 2 2 2 3" xfId="13945"/>
    <cellStyle name="20% - Accent4 2 4 2 2 3" xfId="10015"/>
    <cellStyle name="20% - Accent4 2 4 2 2 3 2" xfId="17831"/>
    <cellStyle name="20% - Accent4 2 4 2 2 4" xfId="13944"/>
    <cellStyle name="20% - Accent4 2 4 2 3" xfId="1011"/>
    <cellStyle name="20% - Accent4 2 4 2 3 2" xfId="1012"/>
    <cellStyle name="20% - Accent4 2 4 2 3 2 2" xfId="10018"/>
    <cellStyle name="20% - Accent4 2 4 2 3 2 2 2" xfId="17834"/>
    <cellStyle name="20% - Accent4 2 4 2 3 2 3" xfId="13947"/>
    <cellStyle name="20% - Accent4 2 4 2 3 3" xfId="10017"/>
    <cellStyle name="20% - Accent4 2 4 2 3 3 2" xfId="17833"/>
    <cellStyle name="20% - Accent4 2 4 2 3 4" xfId="13946"/>
    <cellStyle name="20% - Accent4 2 4 2 4" xfId="1013"/>
    <cellStyle name="20% - Accent4 2 4 2 4 2" xfId="10019"/>
    <cellStyle name="20% - Accent4 2 4 2 4 2 2" xfId="17835"/>
    <cellStyle name="20% - Accent4 2 4 2 4 3" xfId="13948"/>
    <cellStyle name="20% - Accent4 2 4 2 5" xfId="10014"/>
    <cellStyle name="20% - Accent4 2 4 2 5 2" xfId="17830"/>
    <cellStyle name="20% - Accent4 2 4 2 6" xfId="13943"/>
    <cellStyle name="20% - Accent4 2 4 3" xfId="1014"/>
    <cellStyle name="20% - Accent4 2 4 3 2" xfId="1015"/>
    <cellStyle name="20% - Accent4 2 4 3 2 2" xfId="1016"/>
    <cellStyle name="20% - Accent4 2 4 3 2 2 2" xfId="10022"/>
    <cellStyle name="20% - Accent4 2 4 3 2 2 2 2" xfId="17838"/>
    <cellStyle name="20% - Accent4 2 4 3 2 2 3" xfId="13951"/>
    <cellStyle name="20% - Accent4 2 4 3 2 3" xfId="10021"/>
    <cellStyle name="20% - Accent4 2 4 3 2 3 2" xfId="17837"/>
    <cellStyle name="20% - Accent4 2 4 3 2 4" xfId="13950"/>
    <cellStyle name="20% - Accent4 2 4 3 3" xfId="1017"/>
    <cellStyle name="20% - Accent4 2 4 3 3 2" xfId="10023"/>
    <cellStyle name="20% - Accent4 2 4 3 3 2 2" xfId="17839"/>
    <cellStyle name="20% - Accent4 2 4 3 3 3" xfId="13952"/>
    <cellStyle name="20% - Accent4 2 4 3 4" xfId="10020"/>
    <cellStyle name="20% - Accent4 2 4 3 4 2" xfId="17836"/>
    <cellStyle name="20% - Accent4 2 4 3 5" xfId="13949"/>
    <cellStyle name="20% - Accent4 2 4 4" xfId="1018"/>
    <cellStyle name="20% - Accent4 2 4 4 2" xfId="1019"/>
    <cellStyle name="20% - Accent4 2 4 4 2 2" xfId="10025"/>
    <cellStyle name="20% - Accent4 2 4 4 2 2 2" xfId="17841"/>
    <cellStyle name="20% - Accent4 2 4 4 2 3" xfId="13954"/>
    <cellStyle name="20% - Accent4 2 4 4 3" xfId="10024"/>
    <cellStyle name="20% - Accent4 2 4 4 3 2" xfId="17840"/>
    <cellStyle name="20% - Accent4 2 4 4 4" xfId="13953"/>
    <cellStyle name="20% - Accent4 2 4 5" xfId="1020"/>
    <cellStyle name="20% - Accent4 2 4 5 2" xfId="10026"/>
    <cellStyle name="20% - Accent4 2 4 5 2 2" xfId="17842"/>
    <cellStyle name="20% - Accent4 2 4 5 3" xfId="13955"/>
    <cellStyle name="20% - Accent4 2 4 6" xfId="10013"/>
    <cellStyle name="20% - Accent4 2 4 6 2" xfId="17829"/>
    <cellStyle name="20% - Accent4 2 4 7" xfId="13942"/>
    <cellStyle name="20% - Accent4 2 5" xfId="1021"/>
    <cellStyle name="20% - Accent4 2 5 2" xfId="1022"/>
    <cellStyle name="20% - Accent4 2 5 2 2" xfId="1023"/>
    <cellStyle name="20% - Accent4 2 5 2 2 2" xfId="1024"/>
    <cellStyle name="20% - Accent4 2 5 2 2 2 2" xfId="10030"/>
    <cellStyle name="20% - Accent4 2 5 2 2 2 2 2" xfId="17846"/>
    <cellStyle name="20% - Accent4 2 5 2 2 2 3" xfId="13959"/>
    <cellStyle name="20% - Accent4 2 5 2 2 3" xfId="10029"/>
    <cellStyle name="20% - Accent4 2 5 2 2 3 2" xfId="17845"/>
    <cellStyle name="20% - Accent4 2 5 2 2 4" xfId="13958"/>
    <cellStyle name="20% - Accent4 2 5 2 3" xfId="1025"/>
    <cellStyle name="20% - Accent4 2 5 2 3 2" xfId="10031"/>
    <cellStyle name="20% - Accent4 2 5 2 3 2 2" xfId="17847"/>
    <cellStyle name="20% - Accent4 2 5 2 3 3" xfId="13960"/>
    <cellStyle name="20% - Accent4 2 5 2 4" xfId="10028"/>
    <cellStyle name="20% - Accent4 2 5 2 4 2" xfId="17844"/>
    <cellStyle name="20% - Accent4 2 5 2 5" xfId="13957"/>
    <cellStyle name="20% - Accent4 2 5 3" xfId="1026"/>
    <cellStyle name="20% - Accent4 2 5 3 2" xfId="1027"/>
    <cellStyle name="20% - Accent4 2 5 3 2 2" xfId="10033"/>
    <cellStyle name="20% - Accent4 2 5 3 2 2 2" xfId="17849"/>
    <cellStyle name="20% - Accent4 2 5 3 2 3" xfId="13962"/>
    <cellStyle name="20% - Accent4 2 5 3 3" xfId="10032"/>
    <cellStyle name="20% - Accent4 2 5 3 3 2" xfId="17848"/>
    <cellStyle name="20% - Accent4 2 5 3 4" xfId="13961"/>
    <cellStyle name="20% - Accent4 2 5 4" xfId="1028"/>
    <cellStyle name="20% - Accent4 2 5 4 2" xfId="10034"/>
    <cellStyle name="20% - Accent4 2 5 4 2 2" xfId="17850"/>
    <cellStyle name="20% - Accent4 2 5 4 3" xfId="13963"/>
    <cellStyle name="20% - Accent4 2 5 5" xfId="10027"/>
    <cellStyle name="20% - Accent4 2 5 5 2" xfId="17843"/>
    <cellStyle name="20% - Accent4 2 5 6" xfId="13956"/>
    <cellStyle name="20% - Accent4 2 6" xfId="1029"/>
    <cellStyle name="20% - Accent4 2 6 2" xfId="1030"/>
    <cellStyle name="20% - Accent4 2 6 2 2" xfId="1031"/>
    <cellStyle name="20% - Accent4 2 6 2 2 2" xfId="1032"/>
    <cellStyle name="20% - Accent4 2 6 2 2 2 2" xfId="10038"/>
    <cellStyle name="20% - Accent4 2 6 2 2 2 2 2" xfId="17854"/>
    <cellStyle name="20% - Accent4 2 6 2 2 2 3" xfId="13967"/>
    <cellStyle name="20% - Accent4 2 6 2 2 3" xfId="10037"/>
    <cellStyle name="20% - Accent4 2 6 2 2 3 2" xfId="17853"/>
    <cellStyle name="20% - Accent4 2 6 2 2 4" xfId="13966"/>
    <cellStyle name="20% - Accent4 2 6 2 3" xfId="1033"/>
    <cellStyle name="20% - Accent4 2 6 2 3 2" xfId="10039"/>
    <cellStyle name="20% - Accent4 2 6 2 3 2 2" xfId="17855"/>
    <cellStyle name="20% - Accent4 2 6 2 3 3" xfId="13968"/>
    <cellStyle name="20% - Accent4 2 6 2 4" xfId="10036"/>
    <cellStyle name="20% - Accent4 2 6 2 4 2" xfId="17852"/>
    <cellStyle name="20% - Accent4 2 6 2 5" xfId="13965"/>
    <cellStyle name="20% - Accent4 2 6 3" xfId="1034"/>
    <cellStyle name="20% - Accent4 2 6 3 2" xfId="1035"/>
    <cellStyle name="20% - Accent4 2 6 3 2 2" xfId="10041"/>
    <cellStyle name="20% - Accent4 2 6 3 2 2 2" xfId="17857"/>
    <cellStyle name="20% - Accent4 2 6 3 2 3" xfId="13970"/>
    <cellStyle name="20% - Accent4 2 6 3 3" xfId="10040"/>
    <cellStyle name="20% - Accent4 2 6 3 3 2" xfId="17856"/>
    <cellStyle name="20% - Accent4 2 6 3 4" xfId="13969"/>
    <cellStyle name="20% - Accent4 2 6 4" xfId="1036"/>
    <cellStyle name="20% - Accent4 2 6 4 2" xfId="10042"/>
    <cellStyle name="20% - Accent4 2 6 4 2 2" xfId="17858"/>
    <cellStyle name="20% - Accent4 2 6 4 3" xfId="13971"/>
    <cellStyle name="20% - Accent4 2 6 5" xfId="10035"/>
    <cellStyle name="20% - Accent4 2 6 5 2" xfId="17851"/>
    <cellStyle name="20% - Accent4 2 6 6" xfId="13964"/>
    <cellStyle name="20% - Accent4 2 7" xfId="1037"/>
    <cellStyle name="20% - Accent4 2 7 2" xfId="1038"/>
    <cellStyle name="20% - Accent4 2 7 2 2" xfId="1039"/>
    <cellStyle name="20% - Accent4 2 7 2 2 2" xfId="10045"/>
    <cellStyle name="20% - Accent4 2 7 2 2 2 2" xfId="17861"/>
    <cellStyle name="20% - Accent4 2 7 2 2 3" xfId="13974"/>
    <cellStyle name="20% - Accent4 2 7 2 3" xfId="10044"/>
    <cellStyle name="20% - Accent4 2 7 2 3 2" xfId="17860"/>
    <cellStyle name="20% - Accent4 2 7 2 4" xfId="13973"/>
    <cellStyle name="20% - Accent4 2 7 3" xfId="1040"/>
    <cellStyle name="20% - Accent4 2 7 3 2" xfId="10046"/>
    <cellStyle name="20% - Accent4 2 7 3 2 2" xfId="17862"/>
    <cellStyle name="20% - Accent4 2 7 3 3" xfId="13975"/>
    <cellStyle name="20% - Accent4 2 7 4" xfId="10043"/>
    <cellStyle name="20% - Accent4 2 7 4 2" xfId="17859"/>
    <cellStyle name="20% - Accent4 2 7 5" xfId="13972"/>
    <cellStyle name="20% - Accent4 2 8" xfId="1041"/>
    <cellStyle name="20% - Accent4 2 8 2" xfId="1042"/>
    <cellStyle name="20% - Accent4 2 8 2 2" xfId="10048"/>
    <cellStyle name="20% - Accent4 2 8 2 2 2" xfId="17864"/>
    <cellStyle name="20% - Accent4 2 8 2 3" xfId="13977"/>
    <cellStyle name="20% - Accent4 2 8 3" xfId="10047"/>
    <cellStyle name="20% - Accent4 2 8 3 2" xfId="17863"/>
    <cellStyle name="20% - Accent4 2 8 4" xfId="13976"/>
    <cellStyle name="20% - Accent4 2 9" xfId="1043"/>
    <cellStyle name="20% - Accent4 2 9 2" xfId="1044"/>
    <cellStyle name="20% - Accent4 2 9 2 2" xfId="10050"/>
    <cellStyle name="20% - Accent4 2 9 2 2 2" xfId="17866"/>
    <cellStyle name="20% - Accent4 2 9 2 3" xfId="13979"/>
    <cellStyle name="20% - Accent4 2 9 3" xfId="10049"/>
    <cellStyle name="20% - Accent4 2 9 3 2" xfId="17865"/>
    <cellStyle name="20% - Accent4 2 9 4" xfId="13978"/>
    <cellStyle name="20% - Accent4 3" xfId="1045"/>
    <cellStyle name="20% - Accent4 3 2" xfId="1046"/>
    <cellStyle name="20% - Accent4 3 2 2" xfId="1047"/>
    <cellStyle name="20% - Accent4 3 2 2 2" xfId="1048"/>
    <cellStyle name="20% - Accent4 3 2 2 2 2" xfId="1049"/>
    <cellStyle name="20% - Accent4 3 2 2 2 2 2" xfId="1050"/>
    <cellStyle name="20% - Accent4 3 2 2 2 2 2 2" xfId="10055"/>
    <cellStyle name="20% - Accent4 3 2 2 2 2 2 2 2" xfId="17871"/>
    <cellStyle name="20% - Accent4 3 2 2 2 2 2 3" xfId="13984"/>
    <cellStyle name="20% - Accent4 3 2 2 2 2 3" xfId="10054"/>
    <cellStyle name="20% - Accent4 3 2 2 2 2 3 2" xfId="17870"/>
    <cellStyle name="20% - Accent4 3 2 2 2 2 4" xfId="13983"/>
    <cellStyle name="20% - Accent4 3 2 2 2 3" xfId="1051"/>
    <cellStyle name="20% - Accent4 3 2 2 2 3 2" xfId="1052"/>
    <cellStyle name="20% - Accent4 3 2 2 2 3 2 2" xfId="10057"/>
    <cellStyle name="20% - Accent4 3 2 2 2 3 2 2 2" xfId="17873"/>
    <cellStyle name="20% - Accent4 3 2 2 2 3 2 3" xfId="13986"/>
    <cellStyle name="20% - Accent4 3 2 2 2 3 3" xfId="10056"/>
    <cellStyle name="20% - Accent4 3 2 2 2 3 3 2" xfId="17872"/>
    <cellStyle name="20% - Accent4 3 2 2 2 3 4" xfId="13985"/>
    <cellStyle name="20% - Accent4 3 2 2 2 4" xfId="1053"/>
    <cellStyle name="20% - Accent4 3 2 2 2 4 2" xfId="10058"/>
    <cellStyle name="20% - Accent4 3 2 2 2 4 2 2" xfId="17874"/>
    <cellStyle name="20% - Accent4 3 2 2 2 4 3" xfId="13987"/>
    <cellStyle name="20% - Accent4 3 2 2 2 5" xfId="10053"/>
    <cellStyle name="20% - Accent4 3 2 2 2 5 2" xfId="17869"/>
    <cellStyle name="20% - Accent4 3 2 2 2 6" xfId="13982"/>
    <cellStyle name="20% - Accent4 3 2 2 3" xfId="1054"/>
    <cellStyle name="20% - Accent4 3 2 2 3 2" xfId="1055"/>
    <cellStyle name="20% - Accent4 3 2 2 3 2 2" xfId="1056"/>
    <cellStyle name="20% - Accent4 3 2 2 3 2 2 2" xfId="10061"/>
    <cellStyle name="20% - Accent4 3 2 2 3 2 2 2 2" xfId="17877"/>
    <cellStyle name="20% - Accent4 3 2 2 3 2 2 3" xfId="13990"/>
    <cellStyle name="20% - Accent4 3 2 2 3 2 3" xfId="10060"/>
    <cellStyle name="20% - Accent4 3 2 2 3 2 3 2" xfId="17876"/>
    <cellStyle name="20% - Accent4 3 2 2 3 2 4" xfId="13989"/>
    <cellStyle name="20% - Accent4 3 2 2 3 3" xfId="1057"/>
    <cellStyle name="20% - Accent4 3 2 2 3 3 2" xfId="10062"/>
    <cellStyle name="20% - Accent4 3 2 2 3 3 2 2" xfId="17878"/>
    <cellStyle name="20% - Accent4 3 2 2 3 3 3" xfId="13991"/>
    <cellStyle name="20% - Accent4 3 2 2 3 4" xfId="10059"/>
    <cellStyle name="20% - Accent4 3 2 2 3 4 2" xfId="17875"/>
    <cellStyle name="20% - Accent4 3 2 2 3 5" xfId="13988"/>
    <cellStyle name="20% - Accent4 3 2 2 4" xfId="1058"/>
    <cellStyle name="20% - Accent4 3 2 2 4 2" xfId="1059"/>
    <cellStyle name="20% - Accent4 3 2 2 4 2 2" xfId="10064"/>
    <cellStyle name="20% - Accent4 3 2 2 4 2 2 2" xfId="17880"/>
    <cellStyle name="20% - Accent4 3 2 2 4 2 3" xfId="13993"/>
    <cellStyle name="20% - Accent4 3 2 2 4 3" xfId="10063"/>
    <cellStyle name="20% - Accent4 3 2 2 4 3 2" xfId="17879"/>
    <cellStyle name="20% - Accent4 3 2 2 4 4" xfId="13992"/>
    <cellStyle name="20% - Accent4 3 2 2 5" xfId="1060"/>
    <cellStyle name="20% - Accent4 3 2 2 5 2" xfId="10065"/>
    <cellStyle name="20% - Accent4 3 2 2 5 2 2" xfId="17881"/>
    <cellStyle name="20% - Accent4 3 2 2 5 3" xfId="13994"/>
    <cellStyle name="20% - Accent4 3 2 2 6" xfId="10052"/>
    <cellStyle name="20% - Accent4 3 2 2 6 2" xfId="17868"/>
    <cellStyle name="20% - Accent4 3 2 2 7" xfId="13981"/>
    <cellStyle name="20% - Accent4 3 2 3" xfId="1061"/>
    <cellStyle name="20% - Accent4 3 2 3 2" xfId="1062"/>
    <cellStyle name="20% - Accent4 3 2 3 2 2" xfId="1063"/>
    <cellStyle name="20% - Accent4 3 2 3 2 2 2" xfId="1064"/>
    <cellStyle name="20% - Accent4 3 2 3 2 2 2 2" xfId="10069"/>
    <cellStyle name="20% - Accent4 3 2 3 2 2 2 2 2" xfId="17885"/>
    <cellStyle name="20% - Accent4 3 2 3 2 2 2 3" xfId="13998"/>
    <cellStyle name="20% - Accent4 3 2 3 2 2 3" xfId="10068"/>
    <cellStyle name="20% - Accent4 3 2 3 2 2 3 2" xfId="17884"/>
    <cellStyle name="20% - Accent4 3 2 3 2 2 4" xfId="13997"/>
    <cellStyle name="20% - Accent4 3 2 3 2 3" xfId="1065"/>
    <cellStyle name="20% - Accent4 3 2 3 2 3 2" xfId="10070"/>
    <cellStyle name="20% - Accent4 3 2 3 2 3 2 2" xfId="17886"/>
    <cellStyle name="20% - Accent4 3 2 3 2 3 3" xfId="13999"/>
    <cellStyle name="20% - Accent4 3 2 3 2 4" xfId="10067"/>
    <cellStyle name="20% - Accent4 3 2 3 2 4 2" xfId="17883"/>
    <cellStyle name="20% - Accent4 3 2 3 2 5" xfId="13996"/>
    <cellStyle name="20% - Accent4 3 2 3 3" xfId="1066"/>
    <cellStyle name="20% - Accent4 3 2 3 3 2" xfId="1067"/>
    <cellStyle name="20% - Accent4 3 2 3 3 2 2" xfId="10072"/>
    <cellStyle name="20% - Accent4 3 2 3 3 2 2 2" xfId="17888"/>
    <cellStyle name="20% - Accent4 3 2 3 3 2 3" xfId="14001"/>
    <cellStyle name="20% - Accent4 3 2 3 3 3" xfId="10071"/>
    <cellStyle name="20% - Accent4 3 2 3 3 3 2" xfId="17887"/>
    <cellStyle name="20% - Accent4 3 2 3 3 4" xfId="14000"/>
    <cellStyle name="20% - Accent4 3 2 3 4" xfId="1068"/>
    <cellStyle name="20% - Accent4 3 2 3 4 2" xfId="1069"/>
    <cellStyle name="20% - Accent4 3 2 3 4 2 2" xfId="10074"/>
    <cellStyle name="20% - Accent4 3 2 3 4 2 2 2" xfId="17890"/>
    <cellStyle name="20% - Accent4 3 2 3 4 2 3" xfId="14003"/>
    <cellStyle name="20% - Accent4 3 2 3 4 3" xfId="10073"/>
    <cellStyle name="20% - Accent4 3 2 3 4 3 2" xfId="17889"/>
    <cellStyle name="20% - Accent4 3 2 3 4 4" xfId="14002"/>
    <cellStyle name="20% - Accent4 3 2 3 5" xfId="1070"/>
    <cellStyle name="20% - Accent4 3 2 3 5 2" xfId="10075"/>
    <cellStyle name="20% - Accent4 3 2 3 5 2 2" xfId="17891"/>
    <cellStyle name="20% - Accent4 3 2 3 5 3" xfId="14004"/>
    <cellStyle name="20% - Accent4 3 2 3 6" xfId="10066"/>
    <cellStyle name="20% - Accent4 3 2 3 6 2" xfId="17882"/>
    <cellStyle name="20% - Accent4 3 2 3 7" xfId="13995"/>
    <cellStyle name="20% - Accent4 3 2 4" xfId="1071"/>
    <cellStyle name="20% - Accent4 3 2 4 2" xfId="1072"/>
    <cellStyle name="20% - Accent4 3 2 4 2 2" xfId="1073"/>
    <cellStyle name="20% - Accent4 3 2 4 2 2 2" xfId="10078"/>
    <cellStyle name="20% - Accent4 3 2 4 2 2 2 2" xfId="17894"/>
    <cellStyle name="20% - Accent4 3 2 4 2 2 3" xfId="14007"/>
    <cellStyle name="20% - Accent4 3 2 4 2 3" xfId="10077"/>
    <cellStyle name="20% - Accent4 3 2 4 2 3 2" xfId="17893"/>
    <cellStyle name="20% - Accent4 3 2 4 2 4" xfId="14006"/>
    <cellStyle name="20% - Accent4 3 2 4 3" xfId="1074"/>
    <cellStyle name="20% - Accent4 3 2 4 3 2" xfId="10079"/>
    <cellStyle name="20% - Accent4 3 2 4 3 2 2" xfId="17895"/>
    <cellStyle name="20% - Accent4 3 2 4 3 3" xfId="14008"/>
    <cellStyle name="20% - Accent4 3 2 4 4" xfId="10076"/>
    <cellStyle name="20% - Accent4 3 2 4 4 2" xfId="17892"/>
    <cellStyle name="20% - Accent4 3 2 4 5" xfId="14005"/>
    <cellStyle name="20% - Accent4 3 2 5" xfId="1075"/>
    <cellStyle name="20% - Accent4 3 2 5 2" xfId="1076"/>
    <cellStyle name="20% - Accent4 3 2 5 2 2" xfId="10081"/>
    <cellStyle name="20% - Accent4 3 2 5 2 2 2" xfId="17897"/>
    <cellStyle name="20% - Accent4 3 2 5 2 3" xfId="14010"/>
    <cellStyle name="20% - Accent4 3 2 5 3" xfId="10080"/>
    <cellStyle name="20% - Accent4 3 2 5 3 2" xfId="17896"/>
    <cellStyle name="20% - Accent4 3 2 5 4" xfId="14009"/>
    <cellStyle name="20% - Accent4 3 2 6" xfId="1077"/>
    <cellStyle name="20% - Accent4 3 2 6 2" xfId="10082"/>
    <cellStyle name="20% - Accent4 3 2 6 2 2" xfId="17898"/>
    <cellStyle name="20% - Accent4 3 2 6 3" xfId="14011"/>
    <cellStyle name="20% - Accent4 3 2 7" xfId="10051"/>
    <cellStyle name="20% - Accent4 3 2 7 2" xfId="17867"/>
    <cellStyle name="20% - Accent4 3 2 8" xfId="13980"/>
    <cellStyle name="20% - Accent4 3 3" xfId="1078"/>
    <cellStyle name="20% - Accent4 3 3 2" xfId="1079"/>
    <cellStyle name="20% - Accent4 3 3 2 2" xfId="1080"/>
    <cellStyle name="20% - Accent4 3 3 2 2 2" xfId="1081"/>
    <cellStyle name="20% - Accent4 3 3 2 2 2 2" xfId="10086"/>
    <cellStyle name="20% - Accent4 3 3 2 2 2 2 2" xfId="17902"/>
    <cellStyle name="20% - Accent4 3 3 2 2 2 3" xfId="14015"/>
    <cellStyle name="20% - Accent4 3 3 2 2 3" xfId="10085"/>
    <cellStyle name="20% - Accent4 3 3 2 2 3 2" xfId="17901"/>
    <cellStyle name="20% - Accent4 3 3 2 2 4" xfId="14014"/>
    <cellStyle name="20% - Accent4 3 3 2 3" xfId="1082"/>
    <cellStyle name="20% - Accent4 3 3 2 3 2" xfId="1083"/>
    <cellStyle name="20% - Accent4 3 3 2 3 2 2" xfId="10088"/>
    <cellStyle name="20% - Accent4 3 3 2 3 2 2 2" xfId="17904"/>
    <cellStyle name="20% - Accent4 3 3 2 3 2 3" xfId="14017"/>
    <cellStyle name="20% - Accent4 3 3 2 3 3" xfId="10087"/>
    <cellStyle name="20% - Accent4 3 3 2 3 3 2" xfId="17903"/>
    <cellStyle name="20% - Accent4 3 3 2 3 4" xfId="14016"/>
    <cellStyle name="20% - Accent4 3 3 2 4" xfId="1084"/>
    <cellStyle name="20% - Accent4 3 3 2 4 2" xfId="10089"/>
    <cellStyle name="20% - Accent4 3 3 2 4 2 2" xfId="17905"/>
    <cellStyle name="20% - Accent4 3 3 2 4 3" xfId="14018"/>
    <cellStyle name="20% - Accent4 3 3 2 5" xfId="10084"/>
    <cellStyle name="20% - Accent4 3 3 2 5 2" xfId="17900"/>
    <cellStyle name="20% - Accent4 3 3 2 6" xfId="14013"/>
    <cellStyle name="20% - Accent4 3 3 3" xfId="1085"/>
    <cellStyle name="20% - Accent4 3 3 3 2" xfId="1086"/>
    <cellStyle name="20% - Accent4 3 3 3 2 2" xfId="1087"/>
    <cellStyle name="20% - Accent4 3 3 3 2 2 2" xfId="10092"/>
    <cellStyle name="20% - Accent4 3 3 3 2 2 2 2" xfId="17908"/>
    <cellStyle name="20% - Accent4 3 3 3 2 2 3" xfId="14021"/>
    <cellStyle name="20% - Accent4 3 3 3 2 3" xfId="10091"/>
    <cellStyle name="20% - Accent4 3 3 3 2 3 2" xfId="17907"/>
    <cellStyle name="20% - Accent4 3 3 3 2 4" xfId="14020"/>
    <cellStyle name="20% - Accent4 3 3 3 3" xfId="1088"/>
    <cellStyle name="20% - Accent4 3 3 3 3 2" xfId="10093"/>
    <cellStyle name="20% - Accent4 3 3 3 3 2 2" xfId="17909"/>
    <cellStyle name="20% - Accent4 3 3 3 3 3" xfId="14022"/>
    <cellStyle name="20% - Accent4 3 3 3 4" xfId="10090"/>
    <cellStyle name="20% - Accent4 3 3 3 4 2" xfId="17906"/>
    <cellStyle name="20% - Accent4 3 3 3 5" xfId="14019"/>
    <cellStyle name="20% - Accent4 3 3 4" xfId="1089"/>
    <cellStyle name="20% - Accent4 3 3 4 2" xfId="1090"/>
    <cellStyle name="20% - Accent4 3 3 4 2 2" xfId="10095"/>
    <cellStyle name="20% - Accent4 3 3 4 2 2 2" xfId="17911"/>
    <cellStyle name="20% - Accent4 3 3 4 2 3" xfId="14024"/>
    <cellStyle name="20% - Accent4 3 3 4 3" xfId="10094"/>
    <cellStyle name="20% - Accent4 3 3 4 3 2" xfId="17910"/>
    <cellStyle name="20% - Accent4 3 3 4 4" xfId="14023"/>
    <cellStyle name="20% - Accent4 3 3 5" xfId="1091"/>
    <cellStyle name="20% - Accent4 3 3 5 2" xfId="10096"/>
    <cellStyle name="20% - Accent4 3 3 5 2 2" xfId="17912"/>
    <cellStyle name="20% - Accent4 3 3 5 3" xfId="14025"/>
    <cellStyle name="20% - Accent4 3 3 6" xfId="10083"/>
    <cellStyle name="20% - Accent4 3 3 6 2" xfId="17899"/>
    <cellStyle name="20% - Accent4 3 3 7" xfId="14012"/>
    <cellStyle name="20% - Accent4 3 4" xfId="1092"/>
    <cellStyle name="20% - Accent4 3 4 2" xfId="1093"/>
    <cellStyle name="20% - Accent4 3 4 2 2" xfId="1094"/>
    <cellStyle name="20% - Accent4 3 4 2 2 2" xfId="1095"/>
    <cellStyle name="20% - Accent4 3 4 2 2 2 2" xfId="10100"/>
    <cellStyle name="20% - Accent4 3 4 2 2 2 2 2" xfId="17916"/>
    <cellStyle name="20% - Accent4 3 4 2 2 2 3" xfId="14029"/>
    <cellStyle name="20% - Accent4 3 4 2 2 3" xfId="10099"/>
    <cellStyle name="20% - Accent4 3 4 2 2 3 2" xfId="17915"/>
    <cellStyle name="20% - Accent4 3 4 2 2 4" xfId="14028"/>
    <cellStyle name="20% - Accent4 3 4 2 3" xfId="1096"/>
    <cellStyle name="20% - Accent4 3 4 2 3 2" xfId="10101"/>
    <cellStyle name="20% - Accent4 3 4 2 3 2 2" xfId="17917"/>
    <cellStyle name="20% - Accent4 3 4 2 3 3" xfId="14030"/>
    <cellStyle name="20% - Accent4 3 4 2 4" xfId="10098"/>
    <cellStyle name="20% - Accent4 3 4 2 4 2" xfId="17914"/>
    <cellStyle name="20% - Accent4 3 4 2 5" xfId="14027"/>
    <cellStyle name="20% - Accent4 3 4 3" xfId="1097"/>
    <cellStyle name="20% - Accent4 3 4 3 2" xfId="1098"/>
    <cellStyle name="20% - Accent4 3 4 3 2 2" xfId="10103"/>
    <cellStyle name="20% - Accent4 3 4 3 2 2 2" xfId="17919"/>
    <cellStyle name="20% - Accent4 3 4 3 2 3" xfId="14032"/>
    <cellStyle name="20% - Accent4 3 4 3 3" xfId="10102"/>
    <cellStyle name="20% - Accent4 3 4 3 3 2" xfId="17918"/>
    <cellStyle name="20% - Accent4 3 4 3 4" xfId="14031"/>
    <cellStyle name="20% - Accent4 3 4 4" xfId="1099"/>
    <cellStyle name="20% - Accent4 3 4 4 2" xfId="10104"/>
    <cellStyle name="20% - Accent4 3 4 4 2 2" xfId="17920"/>
    <cellStyle name="20% - Accent4 3 4 4 3" xfId="14033"/>
    <cellStyle name="20% - Accent4 3 4 5" xfId="10097"/>
    <cellStyle name="20% - Accent4 3 4 5 2" xfId="17913"/>
    <cellStyle name="20% - Accent4 3 4 6" xfId="14026"/>
    <cellStyle name="20% - Accent4 3 5" xfId="1100"/>
    <cellStyle name="20% - Accent4 3 5 2" xfId="1101"/>
    <cellStyle name="20% - Accent4 3 5 2 2" xfId="1102"/>
    <cellStyle name="20% - Accent4 3 5 2 2 2" xfId="1103"/>
    <cellStyle name="20% - Accent4 3 5 2 2 2 2" xfId="10108"/>
    <cellStyle name="20% - Accent4 3 5 2 2 2 2 2" xfId="17924"/>
    <cellStyle name="20% - Accent4 3 5 2 2 2 3" xfId="14037"/>
    <cellStyle name="20% - Accent4 3 5 2 2 3" xfId="10107"/>
    <cellStyle name="20% - Accent4 3 5 2 2 3 2" xfId="17923"/>
    <cellStyle name="20% - Accent4 3 5 2 2 4" xfId="14036"/>
    <cellStyle name="20% - Accent4 3 5 2 3" xfId="1104"/>
    <cellStyle name="20% - Accent4 3 5 2 3 2" xfId="10109"/>
    <cellStyle name="20% - Accent4 3 5 2 3 2 2" xfId="17925"/>
    <cellStyle name="20% - Accent4 3 5 2 3 3" xfId="14038"/>
    <cellStyle name="20% - Accent4 3 5 2 4" xfId="10106"/>
    <cellStyle name="20% - Accent4 3 5 2 4 2" xfId="17922"/>
    <cellStyle name="20% - Accent4 3 5 2 5" xfId="14035"/>
    <cellStyle name="20% - Accent4 3 5 3" xfId="1105"/>
    <cellStyle name="20% - Accent4 3 5 3 2" xfId="1106"/>
    <cellStyle name="20% - Accent4 3 5 3 2 2" xfId="10111"/>
    <cellStyle name="20% - Accent4 3 5 3 2 2 2" xfId="17927"/>
    <cellStyle name="20% - Accent4 3 5 3 2 3" xfId="14040"/>
    <cellStyle name="20% - Accent4 3 5 3 3" xfId="10110"/>
    <cellStyle name="20% - Accent4 3 5 3 3 2" xfId="17926"/>
    <cellStyle name="20% - Accent4 3 5 3 4" xfId="14039"/>
    <cellStyle name="20% - Accent4 3 5 4" xfId="1107"/>
    <cellStyle name="20% - Accent4 3 5 4 2" xfId="1108"/>
    <cellStyle name="20% - Accent4 3 5 4 2 2" xfId="10113"/>
    <cellStyle name="20% - Accent4 3 5 4 2 2 2" xfId="17929"/>
    <cellStyle name="20% - Accent4 3 5 4 2 3" xfId="14042"/>
    <cellStyle name="20% - Accent4 3 5 4 3" xfId="10112"/>
    <cellStyle name="20% - Accent4 3 5 4 3 2" xfId="17928"/>
    <cellStyle name="20% - Accent4 3 5 4 4" xfId="14041"/>
    <cellStyle name="20% - Accent4 3 5 5" xfId="1109"/>
    <cellStyle name="20% - Accent4 3 5 5 2" xfId="10114"/>
    <cellStyle name="20% - Accent4 3 5 5 2 2" xfId="17930"/>
    <cellStyle name="20% - Accent4 3 5 5 3" xfId="14043"/>
    <cellStyle name="20% - Accent4 3 5 6" xfId="10105"/>
    <cellStyle name="20% - Accent4 3 5 6 2" xfId="17921"/>
    <cellStyle name="20% - Accent4 3 5 7" xfId="14034"/>
    <cellStyle name="20% - Accent4 3 6" xfId="1110"/>
    <cellStyle name="20% - Accent4 3 6 2" xfId="1111"/>
    <cellStyle name="20% - Accent4 3 6 2 2" xfId="1112"/>
    <cellStyle name="20% - Accent4 3 6 2 2 2" xfId="10117"/>
    <cellStyle name="20% - Accent4 3 6 2 2 2 2" xfId="17933"/>
    <cellStyle name="20% - Accent4 3 6 2 2 3" xfId="14046"/>
    <cellStyle name="20% - Accent4 3 6 2 3" xfId="10116"/>
    <cellStyle name="20% - Accent4 3 6 2 3 2" xfId="17932"/>
    <cellStyle name="20% - Accent4 3 6 2 4" xfId="14045"/>
    <cellStyle name="20% - Accent4 3 6 3" xfId="1113"/>
    <cellStyle name="20% - Accent4 3 6 3 2" xfId="10118"/>
    <cellStyle name="20% - Accent4 3 6 3 2 2" xfId="17934"/>
    <cellStyle name="20% - Accent4 3 6 3 3" xfId="14047"/>
    <cellStyle name="20% - Accent4 3 6 4" xfId="10115"/>
    <cellStyle name="20% - Accent4 3 6 4 2" xfId="17931"/>
    <cellStyle name="20% - Accent4 3 6 5" xfId="14044"/>
    <cellStyle name="20% - Accent4 3 7" xfId="1114"/>
    <cellStyle name="20% - Accent4 3 7 2" xfId="1115"/>
    <cellStyle name="20% - Accent4 3 7 2 2" xfId="10120"/>
    <cellStyle name="20% - Accent4 3 7 2 2 2" xfId="17936"/>
    <cellStyle name="20% - Accent4 3 7 2 3" xfId="14049"/>
    <cellStyle name="20% - Accent4 3 7 3" xfId="10119"/>
    <cellStyle name="20% - Accent4 3 7 3 2" xfId="17935"/>
    <cellStyle name="20% - Accent4 3 7 4" xfId="14048"/>
    <cellStyle name="20% - Accent4 3 8" xfId="1116"/>
    <cellStyle name="20% - Accent4 3 8 2" xfId="10121"/>
    <cellStyle name="20% - Accent4 3 8 2 2" xfId="17937"/>
    <cellStyle name="20% - Accent4 3 8 3" xfId="14050"/>
    <cellStyle name="20% - Accent4 3 9" xfId="1117"/>
    <cellStyle name="20% - Accent4 3 9 2" xfId="10122"/>
    <cellStyle name="20% - Accent4 3 9 2 2" xfId="17938"/>
    <cellStyle name="20% - Accent4 3 9 3" xfId="14051"/>
    <cellStyle name="20% - Accent4 4" xfId="1118"/>
    <cellStyle name="20% - Accent4 4 2" xfId="1119"/>
    <cellStyle name="20% - Accent4 4 2 2" xfId="1120"/>
    <cellStyle name="20% - Accent4 4 2 2 2" xfId="1121"/>
    <cellStyle name="20% - Accent4 4 2 2 2 2" xfId="1122"/>
    <cellStyle name="20% - Accent4 4 2 2 2 2 2" xfId="10127"/>
    <cellStyle name="20% - Accent4 4 2 2 2 2 2 2" xfId="17943"/>
    <cellStyle name="20% - Accent4 4 2 2 2 2 3" xfId="14056"/>
    <cellStyle name="20% - Accent4 4 2 2 2 3" xfId="10126"/>
    <cellStyle name="20% - Accent4 4 2 2 2 3 2" xfId="17942"/>
    <cellStyle name="20% - Accent4 4 2 2 2 4" xfId="14055"/>
    <cellStyle name="20% - Accent4 4 2 2 3" xfId="1123"/>
    <cellStyle name="20% - Accent4 4 2 2 3 2" xfId="1124"/>
    <cellStyle name="20% - Accent4 4 2 2 3 2 2" xfId="10129"/>
    <cellStyle name="20% - Accent4 4 2 2 3 2 2 2" xfId="17945"/>
    <cellStyle name="20% - Accent4 4 2 2 3 2 3" xfId="14058"/>
    <cellStyle name="20% - Accent4 4 2 2 3 3" xfId="10128"/>
    <cellStyle name="20% - Accent4 4 2 2 3 3 2" xfId="17944"/>
    <cellStyle name="20% - Accent4 4 2 2 3 4" xfId="14057"/>
    <cellStyle name="20% - Accent4 4 2 2 4" xfId="1125"/>
    <cellStyle name="20% - Accent4 4 2 2 4 2" xfId="10130"/>
    <cellStyle name="20% - Accent4 4 2 2 4 2 2" xfId="17946"/>
    <cellStyle name="20% - Accent4 4 2 2 4 3" xfId="14059"/>
    <cellStyle name="20% - Accent4 4 2 2 5" xfId="10125"/>
    <cellStyle name="20% - Accent4 4 2 2 5 2" xfId="17941"/>
    <cellStyle name="20% - Accent4 4 2 2 6" xfId="14054"/>
    <cellStyle name="20% - Accent4 4 2 3" xfId="1126"/>
    <cellStyle name="20% - Accent4 4 2 3 2" xfId="1127"/>
    <cellStyle name="20% - Accent4 4 2 3 2 2" xfId="1128"/>
    <cellStyle name="20% - Accent4 4 2 3 2 2 2" xfId="10133"/>
    <cellStyle name="20% - Accent4 4 2 3 2 2 2 2" xfId="17949"/>
    <cellStyle name="20% - Accent4 4 2 3 2 2 3" xfId="14062"/>
    <cellStyle name="20% - Accent4 4 2 3 2 3" xfId="10132"/>
    <cellStyle name="20% - Accent4 4 2 3 2 3 2" xfId="17948"/>
    <cellStyle name="20% - Accent4 4 2 3 2 4" xfId="14061"/>
    <cellStyle name="20% - Accent4 4 2 3 3" xfId="1129"/>
    <cellStyle name="20% - Accent4 4 2 3 3 2" xfId="10134"/>
    <cellStyle name="20% - Accent4 4 2 3 3 2 2" xfId="17950"/>
    <cellStyle name="20% - Accent4 4 2 3 3 3" xfId="14063"/>
    <cellStyle name="20% - Accent4 4 2 3 4" xfId="10131"/>
    <cellStyle name="20% - Accent4 4 2 3 4 2" xfId="17947"/>
    <cellStyle name="20% - Accent4 4 2 3 5" xfId="14060"/>
    <cellStyle name="20% - Accent4 4 2 4" xfId="1130"/>
    <cellStyle name="20% - Accent4 4 2 4 2" xfId="1131"/>
    <cellStyle name="20% - Accent4 4 2 4 2 2" xfId="10136"/>
    <cellStyle name="20% - Accent4 4 2 4 2 2 2" xfId="17952"/>
    <cellStyle name="20% - Accent4 4 2 4 2 3" xfId="14065"/>
    <cellStyle name="20% - Accent4 4 2 4 3" xfId="10135"/>
    <cellStyle name="20% - Accent4 4 2 4 3 2" xfId="17951"/>
    <cellStyle name="20% - Accent4 4 2 4 4" xfId="14064"/>
    <cellStyle name="20% - Accent4 4 2 5" xfId="1132"/>
    <cellStyle name="20% - Accent4 4 2 5 2" xfId="10137"/>
    <cellStyle name="20% - Accent4 4 2 5 2 2" xfId="17953"/>
    <cellStyle name="20% - Accent4 4 2 5 3" xfId="14066"/>
    <cellStyle name="20% - Accent4 4 2 6" xfId="10124"/>
    <cellStyle name="20% - Accent4 4 2 6 2" xfId="17940"/>
    <cellStyle name="20% - Accent4 4 2 7" xfId="14053"/>
    <cellStyle name="20% - Accent4 4 3" xfId="1133"/>
    <cellStyle name="20% - Accent4 4 3 2" xfId="1134"/>
    <cellStyle name="20% - Accent4 4 3 2 2" xfId="1135"/>
    <cellStyle name="20% - Accent4 4 3 2 2 2" xfId="1136"/>
    <cellStyle name="20% - Accent4 4 3 2 2 2 2" xfId="10141"/>
    <cellStyle name="20% - Accent4 4 3 2 2 2 2 2" xfId="17957"/>
    <cellStyle name="20% - Accent4 4 3 2 2 2 3" xfId="14070"/>
    <cellStyle name="20% - Accent4 4 3 2 2 3" xfId="10140"/>
    <cellStyle name="20% - Accent4 4 3 2 2 3 2" xfId="17956"/>
    <cellStyle name="20% - Accent4 4 3 2 2 4" xfId="14069"/>
    <cellStyle name="20% - Accent4 4 3 2 3" xfId="1137"/>
    <cellStyle name="20% - Accent4 4 3 2 3 2" xfId="10142"/>
    <cellStyle name="20% - Accent4 4 3 2 3 2 2" xfId="17958"/>
    <cellStyle name="20% - Accent4 4 3 2 3 3" xfId="14071"/>
    <cellStyle name="20% - Accent4 4 3 2 4" xfId="10139"/>
    <cellStyle name="20% - Accent4 4 3 2 4 2" xfId="17955"/>
    <cellStyle name="20% - Accent4 4 3 2 5" xfId="14068"/>
    <cellStyle name="20% - Accent4 4 3 3" xfId="1138"/>
    <cellStyle name="20% - Accent4 4 3 3 2" xfId="1139"/>
    <cellStyle name="20% - Accent4 4 3 3 2 2" xfId="10144"/>
    <cellStyle name="20% - Accent4 4 3 3 2 2 2" xfId="17960"/>
    <cellStyle name="20% - Accent4 4 3 3 2 3" xfId="14073"/>
    <cellStyle name="20% - Accent4 4 3 3 3" xfId="10143"/>
    <cellStyle name="20% - Accent4 4 3 3 3 2" xfId="17959"/>
    <cellStyle name="20% - Accent4 4 3 3 4" xfId="14072"/>
    <cellStyle name="20% - Accent4 4 3 4" xfId="1140"/>
    <cellStyle name="20% - Accent4 4 3 4 2" xfId="1141"/>
    <cellStyle name="20% - Accent4 4 3 4 2 2" xfId="10146"/>
    <cellStyle name="20% - Accent4 4 3 4 2 2 2" xfId="17962"/>
    <cellStyle name="20% - Accent4 4 3 4 2 3" xfId="14075"/>
    <cellStyle name="20% - Accent4 4 3 4 3" xfId="10145"/>
    <cellStyle name="20% - Accent4 4 3 4 3 2" xfId="17961"/>
    <cellStyle name="20% - Accent4 4 3 4 4" xfId="14074"/>
    <cellStyle name="20% - Accent4 4 3 5" xfId="1142"/>
    <cellStyle name="20% - Accent4 4 3 5 2" xfId="10147"/>
    <cellStyle name="20% - Accent4 4 3 5 2 2" xfId="17963"/>
    <cellStyle name="20% - Accent4 4 3 5 3" xfId="14076"/>
    <cellStyle name="20% - Accent4 4 3 6" xfId="10138"/>
    <cellStyle name="20% - Accent4 4 3 6 2" xfId="17954"/>
    <cellStyle name="20% - Accent4 4 3 7" xfId="14067"/>
    <cellStyle name="20% - Accent4 4 4" xfId="1143"/>
    <cellStyle name="20% - Accent4 4 4 2" xfId="1144"/>
    <cellStyle name="20% - Accent4 4 4 2 2" xfId="1145"/>
    <cellStyle name="20% - Accent4 4 4 2 2 2" xfId="10150"/>
    <cellStyle name="20% - Accent4 4 4 2 2 2 2" xfId="17966"/>
    <cellStyle name="20% - Accent4 4 4 2 2 3" xfId="14079"/>
    <cellStyle name="20% - Accent4 4 4 2 3" xfId="10149"/>
    <cellStyle name="20% - Accent4 4 4 2 3 2" xfId="17965"/>
    <cellStyle name="20% - Accent4 4 4 2 4" xfId="14078"/>
    <cellStyle name="20% - Accent4 4 4 3" xfId="1146"/>
    <cellStyle name="20% - Accent4 4 4 3 2" xfId="10151"/>
    <cellStyle name="20% - Accent4 4 4 3 2 2" xfId="17967"/>
    <cellStyle name="20% - Accent4 4 4 3 3" xfId="14080"/>
    <cellStyle name="20% - Accent4 4 4 4" xfId="10148"/>
    <cellStyle name="20% - Accent4 4 4 4 2" xfId="17964"/>
    <cellStyle name="20% - Accent4 4 4 5" xfId="14077"/>
    <cellStyle name="20% - Accent4 4 5" xfId="1147"/>
    <cellStyle name="20% - Accent4 4 5 2" xfId="1148"/>
    <cellStyle name="20% - Accent4 4 5 2 2" xfId="10153"/>
    <cellStyle name="20% - Accent4 4 5 2 2 2" xfId="17969"/>
    <cellStyle name="20% - Accent4 4 5 2 3" xfId="14082"/>
    <cellStyle name="20% - Accent4 4 5 3" xfId="10152"/>
    <cellStyle name="20% - Accent4 4 5 3 2" xfId="17968"/>
    <cellStyle name="20% - Accent4 4 5 4" xfId="14081"/>
    <cellStyle name="20% - Accent4 4 6" xfId="1149"/>
    <cellStyle name="20% - Accent4 4 6 2" xfId="10154"/>
    <cellStyle name="20% - Accent4 4 6 2 2" xfId="17970"/>
    <cellStyle name="20% - Accent4 4 6 3" xfId="14083"/>
    <cellStyle name="20% - Accent4 4 7" xfId="10123"/>
    <cellStyle name="20% - Accent4 4 7 2" xfId="17939"/>
    <cellStyle name="20% - Accent4 4 8" xfId="14052"/>
    <cellStyle name="20% - Accent4 5" xfId="1150"/>
    <cellStyle name="20% - Accent4 5 2" xfId="1151"/>
    <cellStyle name="20% - Accent4 5 2 2" xfId="1152"/>
    <cellStyle name="20% - Accent4 5 2 2 2" xfId="1153"/>
    <cellStyle name="20% - Accent4 5 2 2 2 2" xfId="10158"/>
    <cellStyle name="20% - Accent4 5 2 2 2 2 2" xfId="17974"/>
    <cellStyle name="20% - Accent4 5 2 2 2 3" xfId="14087"/>
    <cellStyle name="20% - Accent4 5 2 2 3" xfId="10157"/>
    <cellStyle name="20% - Accent4 5 2 2 3 2" xfId="17973"/>
    <cellStyle name="20% - Accent4 5 2 2 4" xfId="14086"/>
    <cellStyle name="20% - Accent4 5 2 3" xfId="1154"/>
    <cellStyle name="20% - Accent4 5 2 3 2" xfId="1155"/>
    <cellStyle name="20% - Accent4 5 2 3 2 2" xfId="10160"/>
    <cellStyle name="20% - Accent4 5 2 3 2 2 2" xfId="17976"/>
    <cellStyle name="20% - Accent4 5 2 3 2 3" xfId="14089"/>
    <cellStyle name="20% - Accent4 5 2 3 3" xfId="10159"/>
    <cellStyle name="20% - Accent4 5 2 3 3 2" xfId="17975"/>
    <cellStyle name="20% - Accent4 5 2 3 4" xfId="14088"/>
    <cellStyle name="20% - Accent4 5 2 4" xfId="1156"/>
    <cellStyle name="20% - Accent4 5 2 4 2" xfId="10161"/>
    <cellStyle name="20% - Accent4 5 2 4 2 2" xfId="17977"/>
    <cellStyle name="20% - Accent4 5 2 4 3" xfId="14090"/>
    <cellStyle name="20% - Accent4 5 2 5" xfId="10156"/>
    <cellStyle name="20% - Accent4 5 2 5 2" xfId="17972"/>
    <cellStyle name="20% - Accent4 5 2 6" xfId="14085"/>
    <cellStyle name="20% - Accent4 5 3" xfId="1157"/>
    <cellStyle name="20% - Accent4 5 3 2" xfId="1158"/>
    <cellStyle name="20% - Accent4 5 3 2 2" xfId="1159"/>
    <cellStyle name="20% - Accent4 5 3 2 2 2" xfId="10164"/>
    <cellStyle name="20% - Accent4 5 3 2 2 2 2" xfId="17980"/>
    <cellStyle name="20% - Accent4 5 3 2 2 3" xfId="14093"/>
    <cellStyle name="20% - Accent4 5 3 2 3" xfId="10163"/>
    <cellStyle name="20% - Accent4 5 3 2 3 2" xfId="17979"/>
    <cellStyle name="20% - Accent4 5 3 2 4" xfId="14092"/>
    <cellStyle name="20% - Accent4 5 3 3" xfId="1160"/>
    <cellStyle name="20% - Accent4 5 3 3 2" xfId="10165"/>
    <cellStyle name="20% - Accent4 5 3 3 2 2" xfId="17981"/>
    <cellStyle name="20% - Accent4 5 3 3 3" xfId="14094"/>
    <cellStyle name="20% - Accent4 5 3 4" xfId="10162"/>
    <cellStyle name="20% - Accent4 5 3 4 2" xfId="17978"/>
    <cellStyle name="20% - Accent4 5 3 5" xfId="14091"/>
    <cellStyle name="20% - Accent4 5 4" xfId="1161"/>
    <cellStyle name="20% - Accent4 5 4 2" xfId="1162"/>
    <cellStyle name="20% - Accent4 5 4 2 2" xfId="10167"/>
    <cellStyle name="20% - Accent4 5 4 2 2 2" xfId="17983"/>
    <cellStyle name="20% - Accent4 5 4 2 3" xfId="14096"/>
    <cellStyle name="20% - Accent4 5 4 3" xfId="10166"/>
    <cellStyle name="20% - Accent4 5 4 3 2" xfId="17982"/>
    <cellStyle name="20% - Accent4 5 4 4" xfId="14095"/>
    <cellStyle name="20% - Accent4 5 5" xfId="1163"/>
    <cellStyle name="20% - Accent4 5 5 2" xfId="10168"/>
    <cellStyle name="20% - Accent4 5 5 2 2" xfId="17984"/>
    <cellStyle name="20% - Accent4 5 5 3" xfId="14097"/>
    <cellStyle name="20% - Accent4 5 6" xfId="10155"/>
    <cellStyle name="20% - Accent4 5 6 2" xfId="17971"/>
    <cellStyle name="20% - Accent4 5 7" xfId="14084"/>
    <cellStyle name="20% - Accent4 6" xfId="1164"/>
    <cellStyle name="20% - Accent4 6 2" xfId="1165"/>
    <cellStyle name="20% - Accent4 6 2 2" xfId="1166"/>
    <cellStyle name="20% - Accent4 6 2 2 2" xfId="1167"/>
    <cellStyle name="20% - Accent4 6 2 2 2 2" xfId="10172"/>
    <cellStyle name="20% - Accent4 6 2 2 2 2 2" xfId="17988"/>
    <cellStyle name="20% - Accent4 6 2 2 2 3" xfId="14101"/>
    <cellStyle name="20% - Accent4 6 2 2 3" xfId="10171"/>
    <cellStyle name="20% - Accent4 6 2 2 3 2" xfId="17987"/>
    <cellStyle name="20% - Accent4 6 2 2 4" xfId="14100"/>
    <cellStyle name="20% - Accent4 6 2 3" xfId="1168"/>
    <cellStyle name="20% - Accent4 6 2 3 2" xfId="10173"/>
    <cellStyle name="20% - Accent4 6 2 3 2 2" xfId="17989"/>
    <cellStyle name="20% - Accent4 6 2 3 3" xfId="14102"/>
    <cellStyle name="20% - Accent4 6 2 4" xfId="10170"/>
    <cellStyle name="20% - Accent4 6 2 4 2" xfId="17986"/>
    <cellStyle name="20% - Accent4 6 2 5" xfId="14099"/>
    <cellStyle name="20% - Accent4 6 3" xfId="1169"/>
    <cellStyle name="20% - Accent4 6 3 2" xfId="1170"/>
    <cellStyle name="20% - Accent4 6 3 2 2" xfId="10175"/>
    <cellStyle name="20% - Accent4 6 3 2 2 2" xfId="17991"/>
    <cellStyle name="20% - Accent4 6 3 2 3" xfId="14104"/>
    <cellStyle name="20% - Accent4 6 3 3" xfId="10174"/>
    <cellStyle name="20% - Accent4 6 3 3 2" xfId="17990"/>
    <cellStyle name="20% - Accent4 6 3 4" xfId="14103"/>
    <cellStyle name="20% - Accent4 6 4" xfId="1171"/>
    <cellStyle name="20% - Accent4 6 4 2" xfId="10176"/>
    <cellStyle name="20% - Accent4 6 4 2 2" xfId="17992"/>
    <cellStyle name="20% - Accent4 6 4 3" xfId="14105"/>
    <cellStyle name="20% - Accent4 6 5" xfId="10169"/>
    <cellStyle name="20% - Accent4 6 5 2" xfId="17985"/>
    <cellStyle name="20% - Accent4 6 6" xfId="14098"/>
    <cellStyle name="20% - Accent4 7" xfId="1172"/>
    <cellStyle name="20% - Accent4 7 2" xfId="1173"/>
    <cellStyle name="20% - Accent4 7 2 2" xfId="1174"/>
    <cellStyle name="20% - Accent4 7 2 2 2" xfId="1175"/>
    <cellStyle name="20% - Accent4 7 2 2 2 2" xfId="10180"/>
    <cellStyle name="20% - Accent4 7 2 2 2 2 2" xfId="17996"/>
    <cellStyle name="20% - Accent4 7 2 2 2 3" xfId="14109"/>
    <cellStyle name="20% - Accent4 7 2 2 3" xfId="10179"/>
    <cellStyle name="20% - Accent4 7 2 2 3 2" xfId="17995"/>
    <cellStyle name="20% - Accent4 7 2 2 4" xfId="14108"/>
    <cellStyle name="20% - Accent4 7 2 3" xfId="1176"/>
    <cellStyle name="20% - Accent4 7 2 3 2" xfId="10181"/>
    <cellStyle name="20% - Accent4 7 2 3 2 2" xfId="17997"/>
    <cellStyle name="20% - Accent4 7 2 3 3" xfId="14110"/>
    <cellStyle name="20% - Accent4 7 2 4" xfId="10178"/>
    <cellStyle name="20% - Accent4 7 2 4 2" xfId="17994"/>
    <cellStyle name="20% - Accent4 7 2 5" xfId="14107"/>
    <cellStyle name="20% - Accent4 7 3" xfId="1177"/>
    <cellStyle name="20% - Accent4 7 3 2" xfId="1178"/>
    <cellStyle name="20% - Accent4 7 3 2 2" xfId="10183"/>
    <cellStyle name="20% - Accent4 7 3 2 2 2" xfId="17999"/>
    <cellStyle name="20% - Accent4 7 3 2 3" xfId="14112"/>
    <cellStyle name="20% - Accent4 7 3 3" xfId="10182"/>
    <cellStyle name="20% - Accent4 7 3 3 2" xfId="17998"/>
    <cellStyle name="20% - Accent4 7 3 4" xfId="14111"/>
    <cellStyle name="20% - Accent4 7 4" xfId="1179"/>
    <cellStyle name="20% - Accent4 7 4 2" xfId="10184"/>
    <cellStyle name="20% - Accent4 7 4 2 2" xfId="18000"/>
    <cellStyle name="20% - Accent4 7 4 3" xfId="14113"/>
    <cellStyle name="20% - Accent4 7 5" xfId="10177"/>
    <cellStyle name="20% - Accent4 7 5 2" xfId="17993"/>
    <cellStyle name="20% - Accent4 7 6" xfId="14106"/>
    <cellStyle name="20% - Accent4 8" xfId="1180"/>
    <cellStyle name="20% - Accent4 8 2" xfId="1181"/>
    <cellStyle name="20% - Accent4 8 2 2" xfId="1182"/>
    <cellStyle name="20% - Accent4 8 2 2 2" xfId="10187"/>
    <cellStyle name="20% - Accent4 8 2 2 2 2" xfId="18003"/>
    <cellStyle name="20% - Accent4 8 2 2 3" xfId="14116"/>
    <cellStyle name="20% - Accent4 8 2 3" xfId="10186"/>
    <cellStyle name="20% - Accent4 8 2 3 2" xfId="18002"/>
    <cellStyle name="20% - Accent4 8 2 4" xfId="14115"/>
    <cellStyle name="20% - Accent4 8 3" xfId="1183"/>
    <cellStyle name="20% - Accent4 8 3 2" xfId="10188"/>
    <cellStyle name="20% - Accent4 8 3 2 2" xfId="18004"/>
    <cellStyle name="20% - Accent4 8 3 3" xfId="14117"/>
    <cellStyle name="20% - Accent4 8 4" xfId="10185"/>
    <cellStyle name="20% - Accent4 8 4 2" xfId="18001"/>
    <cellStyle name="20% - Accent4 8 5" xfId="14114"/>
    <cellStyle name="20% - Accent4 9" xfId="1184"/>
    <cellStyle name="20% - Accent4 9 2" xfId="1185"/>
    <cellStyle name="20% - Accent4 9 2 2" xfId="10190"/>
    <cellStyle name="20% - Accent4 9 2 2 2" xfId="18006"/>
    <cellStyle name="20% - Accent4 9 2 3" xfId="14119"/>
    <cellStyle name="20% - Accent4 9 3" xfId="10189"/>
    <cellStyle name="20% - Accent4 9 3 2" xfId="18005"/>
    <cellStyle name="20% - Accent4 9 4" xfId="14118"/>
    <cellStyle name="20% - Accent5 10" xfId="1186"/>
    <cellStyle name="20% - Accent5 10 2" xfId="1187"/>
    <cellStyle name="20% - Accent5 10 2 2" xfId="10192"/>
    <cellStyle name="20% - Accent5 10 2 2 2" xfId="18008"/>
    <cellStyle name="20% - Accent5 10 2 3" xfId="14121"/>
    <cellStyle name="20% - Accent5 10 3" xfId="10191"/>
    <cellStyle name="20% - Accent5 10 3 2" xfId="18007"/>
    <cellStyle name="20% - Accent5 10 4" xfId="14120"/>
    <cellStyle name="20% - Accent5 11" xfId="1188"/>
    <cellStyle name="20% - Accent5 11 2" xfId="10193"/>
    <cellStyle name="20% - Accent5 11 2 2" xfId="18009"/>
    <cellStyle name="20% - Accent5 11 3" xfId="14122"/>
    <cellStyle name="20% - Accent5 12" xfId="1189"/>
    <cellStyle name="20% - Accent5 12 2" xfId="10194"/>
    <cellStyle name="20% - Accent5 12 2 2" xfId="18010"/>
    <cellStyle name="20% - Accent5 12 3" xfId="14123"/>
    <cellStyle name="20% - Accent5 2" xfId="1190"/>
    <cellStyle name="20% - Accent5 2 10" xfId="1191"/>
    <cellStyle name="20% - Accent5 2 10 2" xfId="10196"/>
    <cellStyle name="20% - Accent5 2 10 2 2" xfId="18012"/>
    <cellStyle name="20% - Accent5 2 10 3" xfId="14125"/>
    <cellStyle name="20% - Accent5 2 11" xfId="10195"/>
    <cellStyle name="20% - Accent5 2 11 2" xfId="18011"/>
    <cellStyle name="20% - Accent5 2 12" xfId="12951"/>
    <cellStyle name="20% - Accent5 2 13" xfId="14124"/>
    <cellStyle name="20% - Accent5 2 2" xfId="1192"/>
    <cellStyle name="20% - Accent5 2 2 10" xfId="14126"/>
    <cellStyle name="20% - Accent5 2 2 2" xfId="1193"/>
    <cellStyle name="20% - Accent5 2 2 2 2" xfId="1194"/>
    <cellStyle name="20% - Accent5 2 2 2 2 2" xfId="1195"/>
    <cellStyle name="20% - Accent5 2 2 2 2 2 2" xfId="1196"/>
    <cellStyle name="20% - Accent5 2 2 2 2 2 2 2" xfId="1197"/>
    <cellStyle name="20% - Accent5 2 2 2 2 2 2 2 2" xfId="10202"/>
    <cellStyle name="20% - Accent5 2 2 2 2 2 2 2 2 2" xfId="18018"/>
    <cellStyle name="20% - Accent5 2 2 2 2 2 2 2 3" xfId="14131"/>
    <cellStyle name="20% - Accent5 2 2 2 2 2 2 3" xfId="10201"/>
    <cellStyle name="20% - Accent5 2 2 2 2 2 2 3 2" xfId="18017"/>
    <cellStyle name="20% - Accent5 2 2 2 2 2 2 4" xfId="14130"/>
    <cellStyle name="20% - Accent5 2 2 2 2 2 3" xfId="1198"/>
    <cellStyle name="20% - Accent5 2 2 2 2 2 3 2" xfId="1199"/>
    <cellStyle name="20% - Accent5 2 2 2 2 2 3 2 2" xfId="10204"/>
    <cellStyle name="20% - Accent5 2 2 2 2 2 3 2 2 2" xfId="18020"/>
    <cellStyle name="20% - Accent5 2 2 2 2 2 3 2 3" xfId="14133"/>
    <cellStyle name="20% - Accent5 2 2 2 2 2 3 3" xfId="10203"/>
    <cellStyle name="20% - Accent5 2 2 2 2 2 3 3 2" xfId="18019"/>
    <cellStyle name="20% - Accent5 2 2 2 2 2 3 4" xfId="14132"/>
    <cellStyle name="20% - Accent5 2 2 2 2 2 4" xfId="1200"/>
    <cellStyle name="20% - Accent5 2 2 2 2 2 4 2" xfId="10205"/>
    <cellStyle name="20% - Accent5 2 2 2 2 2 4 2 2" xfId="18021"/>
    <cellStyle name="20% - Accent5 2 2 2 2 2 4 3" xfId="14134"/>
    <cellStyle name="20% - Accent5 2 2 2 2 2 5" xfId="10200"/>
    <cellStyle name="20% - Accent5 2 2 2 2 2 5 2" xfId="18016"/>
    <cellStyle name="20% - Accent5 2 2 2 2 2 6" xfId="14129"/>
    <cellStyle name="20% - Accent5 2 2 2 2 3" xfId="1201"/>
    <cellStyle name="20% - Accent5 2 2 2 2 3 2" xfId="1202"/>
    <cellStyle name="20% - Accent5 2 2 2 2 3 2 2" xfId="1203"/>
    <cellStyle name="20% - Accent5 2 2 2 2 3 2 2 2" xfId="10208"/>
    <cellStyle name="20% - Accent5 2 2 2 2 3 2 2 2 2" xfId="18024"/>
    <cellStyle name="20% - Accent5 2 2 2 2 3 2 2 3" xfId="14137"/>
    <cellStyle name="20% - Accent5 2 2 2 2 3 2 3" xfId="10207"/>
    <cellStyle name="20% - Accent5 2 2 2 2 3 2 3 2" xfId="18023"/>
    <cellStyle name="20% - Accent5 2 2 2 2 3 2 4" xfId="14136"/>
    <cellStyle name="20% - Accent5 2 2 2 2 3 3" xfId="1204"/>
    <cellStyle name="20% - Accent5 2 2 2 2 3 3 2" xfId="10209"/>
    <cellStyle name="20% - Accent5 2 2 2 2 3 3 2 2" xfId="18025"/>
    <cellStyle name="20% - Accent5 2 2 2 2 3 3 3" xfId="14138"/>
    <cellStyle name="20% - Accent5 2 2 2 2 3 4" xfId="10206"/>
    <cellStyle name="20% - Accent5 2 2 2 2 3 4 2" xfId="18022"/>
    <cellStyle name="20% - Accent5 2 2 2 2 3 5" xfId="14135"/>
    <cellStyle name="20% - Accent5 2 2 2 2 4" xfId="1205"/>
    <cellStyle name="20% - Accent5 2 2 2 2 4 2" xfId="1206"/>
    <cellStyle name="20% - Accent5 2 2 2 2 4 2 2" xfId="10211"/>
    <cellStyle name="20% - Accent5 2 2 2 2 4 2 2 2" xfId="18027"/>
    <cellStyle name="20% - Accent5 2 2 2 2 4 2 3" xfId="14140"/>
    <cellStyle name="20% - Accent5 2 2 2 2 4 3" xfId="10210"/>
    <cellStyle name="20% - Accent5 2 2 2 2 4 3 2" xfId="18026"/>
    <cellStyle name="20% - Accent5 2 2 2 2 4 4" xfId="14139"/>
    <cellStyle name="20% - Accent5 2 2 2 2 5" xfId="1207"/>
    <cellStyle name="20% - Accent5 2 2 2 2 5 2" xfId="10212"/>
    <cellStyle name="20% - Accent5 2 2 2 2 5 2 2" xfId="18028"/>
    <cellStyle name="20% - Accent5 2 2 2 2 5 3" xfId="14141"/>
    <cellStyle name="20% - Accent5 2 2 2 2 6" xfId="10199"/>
    <cellStyle name="20% - Accent5 2 2 2 2 6 2" xfId="18015"/>
    <cellStyle name="20% - Accent5 2 2 2 2 7" xfId="14128"/>
    <cellStyle name="20% - Accent5 2 2 2 3" xfId="1208"/>
    <cellStyle name="20% - Accent5 2 2 2 3 2" xfId="1209"/>
    <cellStyle name="20% - Accent5 2 2 2 3 2 2" xfId="1210"/>
    <cellStyle name="20% - Accent5 2 2 2 3 2 2 2" xfId="1211"/>
    <cellStyle name="20% - Accent5 2 2 2 3 2 2 2 2" xfId="10216"/>
    <cellStyle name="20% - Accent5 2 2 2 3 2 2 2 2 2" xfId="18032"/>
    <cellStyle name="20% - Accent5 2 2 2 3 2 2 2 3" xfId="14145"/>
    <cellStyle name="20% - Accent5 2 2 2 3 2 2 3" xfId="10215"/>
    <cellStyle name="20% - Accent5 2 2 2 3 2 2 3 2" xfId="18031"/>
    <cellStyle name="20% - Accent5 2 2 2 3 2 2 4" xfId="14144"/>
    <cellStyle name="20% - Accent5 2 2 2 3 2 3" xfId="1212"/>
    <cellStyle name="20% - Accent5 2 2 2 3 2 3 2" xfId="10217"/>
    <cellStyle name="20% - Accent5 2 2 2 3 2 3 2 2" xfId="18033"/>
    <cellStyle name="20% - Accent5 2 2 2 3 2 3 3" xfId="14146"/>
    <cellStyle name="20% - Accent5 2 2 2 3 2 4" xfId="10214"/>
    <cellStyle name="20% - Accent5 2 2 2 3 2 4 2" xfId="18030"/>
    <cellStyle name="20% - Accent5 2 2 2 3 2 5" xfId="14143"/>
    <cellStyle name="20% - Accent5 2 2 2 3 3" xfId="1213"/>
    <cellStyle name="20% - Accent5 2 2 2 3 3 2" xfId="1214"/>
    <cellStyle name="20% - Accent5 2 2 2 3 3 2 2" xfId="10219"/>
    <cellStyle name="20% - Accent5 2 2 2 3 3 2 2 2" xfId="18035"/>
    <cellStyle name="20% - Accent5 2 2 2 3 3 2 3" xfId="14148"/>
    <cellStyle name="20% - Accent5 2 2 2 3 3 3" xfId="10218"/>
    <cellStyle name="20% - Accent5 2 2 2 3 3 3 2" xfId="18034"/>
    <cellStyle name="20% - Accent5 2 2 2 3 3 4" xfId="14147"/>
    <cellStyle name="20% - Accent5 2 2 2 3 4" xfId="1215"/>
    <cellStyle name="20% - Accent5 2 2 2 3 4 2" xfId="1216"/>
    <cellStyle name="20% - Accent5 2 2 2 3 4 2 2" xfId="10221"/>
    <cellStyle name="20% - Accent5 2 2 2 3 4 2 2 2" xfId="18037"/>
    <cellStyle name="20% - Accent5 2 2 2 3 4 2 3" xfId="14150"/>
    <cellStyle name="20% - Accent5 2 2 2 3 4 3" xfId="10220"/>
    <cellStyle name="20% - Accent5 2 2 2 3 4 3 2" xfId="18036"/>
    <cellStyle name="20% - Accent5 2 2 2 3 4 4" xfId="14149"/>
    <cellStyle name="20% - Accent5 2 2 2 3 5" xfId="1217"/>
    <cellStyle name="20% - Accent5 2 2 2 3 5 2" xfId="10222"/>
    <cellStyle name="20% - Accent5 2 2 2 3 5 2 2" xfId="18038"/>
    <cellStyle name="20% - Accent5 2 2 2 3 5 3" xfId="14151"/>
    <cellStyle name="20% - Accent5 2 2 2 3 6" xfId="10213"/>
    <cellStyle name="20% - Accent5 2 2 2 3 6 2" xfId="18029"/>
    <cellStyle name="20% - Accent5 2 2 2 3 7" xfId="14142"/>
    <cellStyle name="20% - Accent5 2 2 2 4" xfId="1218"/>
    <cellStyle name="20% - Accent5 2 2 2 4 2" xfId="1219"/>
    <cellStyle name="20% - Accent5 2 2 2 4 2 2" xfId="1220"/>
    <cellStyle name="20% - Accent5 2 2 2 4 2 2 2" xfId="10225"/>
    <cellStyle name="20% - Accent5 2 2 2 4 2 2 2 2" xfId="18041"/>
    <cellStyle name="20% - Accent5 2 2 2 4 2 2 3" xfId="14154"/>
    <cellStyle name="20% - Accent5 2 2 2 4 2 3" xfId="10224"/>
    <cellStyle name="20% - Accent5 2 2 2 4 2 3 2" xfId="18040"/>
    <cellStyle name="20% - Accent5 2 2 2 4 2 4" xfId="14153"/>
    <cellStyle name="20% - Accent5 2 2 2 4 3" xfId="1221"/>
    <cellStyle name="20% - Accent5 2 2 2 4 3 2" xfId="10226"/>
    <cellStyle name="20% - Accent5 2 2 2 4 3 2 2" xfId="18042"/>
    <cellStyle name="20% - Accent5 2 2 2 4 3 3" xfId="14155"/>
    <cellStyle name="20% - Accent5 2 2 2 4 4" xfId="10223"/>
    <cellStyle name="20% - Accent5 2 2 2 4 4 2" xfId="18039"/>
    <cellStyle name="20% - Accent5 2 2 2 4 5" xfId="14152"/>
    <cellStyle name="20% - Accent5 2 2 2 5" xfId="1222"/>
    <cellStyle name="20% - Accent5 2 2 2 5 2" xfId="1223"/>
    <cellStyle name="20% - Accent5 2 2 2 5 2 2" xfId="10228"/>
    <cellStyle name="20% - Accent5 2 2 2 5 2 2 2" xfId="18044"/>
    <cellStyle name="20% - Accent5 2 2 2 5 2 3" xfId="14157"/>
    <cellStyle name="20% - Accent5 2 2 2 5 3" xfId="10227"/>
    <cellStyle name="20% - Accent5 2 2 2 5 3 2" xfId="18043"/>
    <cellStyle name="20% - Accent5 2 2 2 5 4" xfId="14156"/>
    <cellStyle name="20% - Accent5 2 2 2 6" xfId="1224"/>
    <cellStyle name="20% - Accent5 2 2 2 6 2" xfId="10229"/>
    <cellStyle name="20% - Accent5 2 2 2 6 2 2" xfId="18045"/>
    <cellStyle name="20% - Accent5 2 2 2 6 3" xfId="14158"/>
    <cellStyle name="20% - Accent5 2 2 2 7" xfId="10198"/>
    <cellStyle name="20% - Accent5 2 2 2 7 2" xfId="18014"/>
    <cellStyle name="20% - Accent5 2 2 2 8" xfId="14127"/>
    <cellStyle name="20% - Accent5 2 2 3" xfId="1225"/>
    <cellStyle name="20% - Accent5 2 2 3 2" xfId="1226"/>
    <cellStyle name="20% - Accent5 2 2 3 2 2" xfId="1227"/>
    <cellStyle name="20% - Accent5 2 2 3 2 2 2" xfId="1228"/>
    <cellStyle name="20% - Accent5 2 2 3 2 2 2 2" xfId="10233"/>
    <cellStyle name="20% - Accent5 2 2 3 2 2 2 2 2" xfId="18049"/>
    <cellStyle name="20% - Accent5 2 2 3 2 2 2 3" xfId="14162"/>
    <cellStyle name="20% - Accent5 2 2 3 2 2 3" xfId="10232"/>
    <cellStyle name="20% - Accent5 2 2 3 2 2 3 2" xfId="18048"/>
    <cellStyle name="20% - Accent5 2 2 3 2 2 4" xfId="14161"/>
    <cellStyle name="20% - Accent5 2 2 3 2 3" xfId="1229"/>
    <cellStyle name="20% - Accent5 2 2 3 2 3 2" xfId="1230"/>
    <cellStyle name="20% - Accent5 2 2 3 2 3 2 2" xfId="10235"/>
    <cellStyle name="20% - Accent5 2 2 3 2 3 2 2 2" xfId="18051"/>
    <cellStyle name="20% - Accent5 2 2 3 2 3 2 3" xfId="14164"/>
    <cellStyle name="20% - Accent5 2 2 3 2 3 3" xfId="10234"/>
    <cellStyle name="20% - Accent5 2 2 3 2 3 3 2" xfId="18050"/>
    <cellStyle name="20% - Accent5 2 2 3 2 3 4" xfId="14163"/>
    <cellStyle name="20% - Accent5 2 2 3 2 4" xfId="1231"/>
    <cellStyle name="20% - Accent5 2 2 3 2 4 2" xfId="10236"/>
    <cellStyle name="20% - Accent5 2 2 3 2 4 2 2" xfId="18052"/>
    <cellStyle name="20% - Accent5 2 2 3 2 4 3" xfId="14165"/>
    <cellStyle name="20% - Accent5 2 2 3 2 5" xfId="10231"/>
    <cellStyle name="20% - Accent5 2 2 3 2 5 2" xfId="18047"/>
    <cellStyle name="20% - Accent5 2 2 3 2 6" xfId="14160"/>
    <cellStyle name="20% - Accent5 2 2 3 3" xfId="1232"/>
    <cellStyle name="20% - Accent5 2 2 3 3 2" xfId="1233"/>
    <cellStyle name="20% - Accent5 2 2 3 3 2 2" xfId="1234"/>
    <cellStyle name="20% - Accent5 2 2 3 3 2 2 2" xfId="10239"/>
    <cellStyle name="20% - Accent5 2 2 3 3 2 2 2 2" xfId="18055"/>
    <cellStyle name="20% - Accent5 2 2 3 3 2 2 3" xfId="14168"/>
    <cellStyle name="20% - Accent5 2 2 3 3 2 3" xfId="10238"/>
    <cellStyle name="20% - Accent5 2 2 3 3 2 3 2" xfId="18054"/>
    <cellStyle name="20% - Accent5 2 2 3 3 2 4" xfId="14167"/>
    <cellStyle name="20% - Accent5 2 2 3 3 3" xfId="1235"/>
    <cellStyle name="20% - Accent5 2 2 3 3 3 2" xfId="10240"/>
    <cellStyle name="20% - Accent5 2 2 3 3 3 2 2" xfId="18056"/>
    <cellStyle name="20% - Accent5 2 2 3 3 3 3" xfId="14169"/>
    <cellStyle name="20% - Accent5 2 2 3 3 4" xfId="10237"/>
    <cellStyle name="20% - Accent5 2 2 3 3 4 2" xfId="18053"/>
    <cellStyle name="20% - Accent5 2 2 3 3 5" xfId="14166"/>
    <cellStyle name="20% - Accent5 2 2 3 4" xfId="1236"/>
    <cellStyle name="20% - Accent5 2 2 3 4 2" xfId="1237"/>
    <cellStyle name="20% - Accent5 2 2 3 4 2 2" xfId="10242"/>
    <cellStyle name="20% - Accent5 2 2 3 4 2 2 2" xfId="18058"/>
    <cellStyle name="20% - Accent5 2 2 3 4 2 3" xfId="14171"/>
    <cellStyle name="20% - Accent5 2 2 3 4 3" xfId="10241"/>
    <cellStyle name="20% - Accent5 2 2 3 4 3 2" xfId="18057"/>
    <cellStyle name="20% - Accent5 2 2 3 4 4" xfId="14170"/>
    <cellStyle name="20% - Accent5 2 2 3 5" xfId="1238"/>
    <cellStyle name="20% - Accent5 2 2 3 5 2" xfId="10243"/>
    <cellStyle name="20% - Accent5 2 2 3 5 2 2" xfId="18059"/>
    <cellStyle name="20% - Accent5 2 2 3 5 3" xfId="14172"/>
    <cellStyle name="20% - Accent5 2 2 3 6" xfId="10230"/>
    <cellStyle name="20% - Accent5 2 2 3 6 2" xfId="18046"/>
    <cellStyle name="20% - Accent5 2 2 3 7" xfId="14159"/>
    <cellStyle name="20% - Accent5 2 2 4" xfId="1239"/>
    <cellStyle name="20% - Accent5 2 2 4 2" xfId="1240"/>
    <cellStyle name="20% - Accent5 2 2 4 2 2" xfId="1241"/>
    <cellStyle name="20% - Accent5 2 2 4 2 2 2" xfId="1242"/>
    <cellStyle name="20% - Accent5 2 2 4 2 2 2 2" xfId="10247"/>
    <cellStyle name="20% - Accent5 2 2 4 2 2 2 2 2" xfId="18063"/>
    <cellStyle name="20% - Accent5 2 2 4 2 2 2 3" xfId="14176"/>
    <cellStyle name="20% - Accent5 2 2 4 2 2 3" xfId="10246"/>
    <cellStyle name="20% - Accent5 2 2 4 2 2 3 2" xfId="18062"/>
    <cellStyle name="20% - Accent5 2 2 4 2 2 4" xfId="14175"/>
    <cellStyle name="20% - Accent5 2 2 4 2 3" xfId="1243"/>
    <cellStyle name="20% - Accent5 2 2 4 2 3 2" xfId="10248"/>
    <cellStyle name="20% - Accent5 2 2 4 2 3 2 2" xfId="18064"/>
    <cellStyle name="20% - Accent5 2 2 4 2 3 3" xfId="14177"/>
    <cellStyle name="20% - Accent5 2 2 4 2 4" xfId="10245"/>
    <cellStyle name="20% - Accent5 2 2 4 2 4 2" xfId="18061"/>
    <cellStyle name="20% - Accent5 2 2 4 2 5" xfId="14174"/>
    <cellStyle name="20% - Accent5 2 2 4 3" xfId="1244"/>
    <cellStyle name="20% - Accent5 2 2 4 3 2" xfId="1245"/>
    <cellStyle name="20% - Accent5 2 2 4 3 2 2" xfId="10250"/>
    <cellStyle name="20% - Accent5 2 2 4 3 2 2 2" xfId="18066"/>
    <cellStyle name="20% - Accent5 2 2 4 3 2 3" xfId="14179"/>
    <cellStyle name="20% - Accent5 2 2 4 3 3" xfId="10249"/>
    <cellStyle name="20% - Accent5 2 2 4 3 3 2" xfId="18065"/>
    <cellStyle name="20% - Accent5 2 2 4 3 4" xfId="14178"/>
    <cellStyle name="20% - Accent5 2 2 4 4" xfId="1246"/>
    <cellStyle name="20% - Accent5 2 2 4 4 2" xfId="10251"/>
    <cellStyle name="20% - Accent5 2 2 4 4 2 2" xfId="18067"/>
    <cellStyle name="20% - Accent5 2 2 4 4 3" xfId="14180"/>
    <cellStyle name="20% - Accent5 2 2 4 5" xfId="10244"/>
    <cellStyle name="20% - Accent5 2 2 4 5 2" xfId="18060"/>
    <cellStyle name="20% - Accent5 2 2 4 6" xfId="14173"/>
    <cellStyle name="20% - Accent5 2 2 5" xfId="1247"/>
    <cellStyle name="20% - Accent5 2 2 5 2" xfId="1248"/>
    <cellStyle name="20% - Accent5 2 2 5 2 2" xfId="1249"/>
    <cellStyle name="20% - Accent5 2 2 5 2 2 2" xfId="1250"/>
    <cellStyle name="20% - Accent5 2 2 5 2 2 2 2" xfId="10255"/>
    <cellStyle name="20% - Accent5 2 2 5 2 2 2 2 2" xfId="18071"/>
    <cellStyle name="20% - Accent5 2 2 5 2 2 2 3" xfId="14184"/>
    <cellStyle name="20% - Accent5 2 2 5 2 2 3" xfId="10254"/>
    <cellStyle name="20% - Accent5 2 2 5 2 2 3 2" xfId="18070"/>
    <cellStyle name="20% - Accent5 2 2 5 2 2 4" xfId="14183"/>
    <cellStyle name="20% - Accent5 2 2 5 2 3" xfId="1251"/>
    <cellStyle name="20% - Accent5 2 2 5 2 3 2" xfId="10256"/>
    <cellStyle name="20% - Accent5 2 2 5 2 3 2 2" xfId="18072"/>
    <cellStyle name="20% - Accent5 2 2 5 2 3 3" xfId="14185"/>
    <cellStyle name="20% - Accent5 2 2 5 2 4" xfId="10253"/>
    <cellStyle name="20% - Accent5 2 2 5 2 4 2" xfId="18069"/>
    <cellStyle name="20% - Accent5 2 2 5 2 5" xfId="14182"/>
    <cellStyle name="20% - Accent5 2 2 5 3" xfId="1252"/>
    <cellStyle name="20% - Accent5 2 2 5 3 2" xfId="1253"/>
    <cellStyle name="20% - Accent5 2 2 5 3 2 2" xfId="10258"/>
    <cellStyle name="20% - Accent5 2 2 5 3 2 2 2" xfId="18074"/>
    <cellStyle name="20% - Accent5 2 2 5 3 2 3" xfId="14187"/>
    <cellStyle name="20% - Accent5 2 2 5 3 3" xfId="10257"/>
    <cellStyle name="20% - Accent5 2 2 5 3 3 2" xfId="18073"/>
    <cellStyle name="20% - Accent5 2 2 5 3 4" xfId="14186"/>
    <cellStyle name="20% - Accent5 2 2 5 4" xfId="1254"/>
    <cellStyle name="20% - Accent5 2 2 5 4 2" xfId="1255"/>
    <cellStyle name="20% - Accent5 2 2 5 4 2 2" xfId="10260"/>
    <cellStyle name="20% - Accent5 2 2 5 4 2 2 2" xfId="18076"/>
    <cellStyle name="20% - Accent5 2 2 5 4 2 3" xfId="14189"/>
    <cellStyle name="20% - Accent5 2 2 5 4 3" xfId="10259"/>
    <cellStyle name="20% - Accent5 2 2 5 4 3 2" xfId="18075"/>
    <cellStyle name="20% - Accent5 2 2 5 4 4" xfId="14188"/>
    <cellStyle name="20% - Accent5 2 2 5 5" xfId="1256"/>
    <cellStyle name="20% - Accent5 2 2 5 5 2" xfId="10261"/>
    <cellStyle name="20% - Accent5 2 2 5 5 2 2" xfId="18077"/>
    <cellStyle name="20% - Accent5 2 2 5 5 3" xfId="14190"/>
    <cellStyle name="20% - Accent5 2 2 5 6" xfId="10252"/>
    <cellStyle name="20% - Accent5 2 2 5 6 2" xfId="18068"/>
    <cellStyle name="20% - Accent5 2 2 5 7" xfId="14181"/>
    <cellStyle name="20% - Accent5 2 2 6" xfId="1257"/>
    <cellStyle name="20% - Accent5 2 2 6 2" xfId="1258"/>
    <cellStyle name="20% - Accent5 2 2 6 2 2" xfId="1259"/>
    <cellStyle name="20% - Accent5 2 2 6 2 2 2" xfId="10264"/>
    <cellStyle name="20% - Accent5 2 2 6 2 2 2 2" xfId="18080"/>
    <cellStyle name="20% - Accent5 2 2 6 2 2 3" xfId="14193"/>
    <cellStyle name="20% - Accent5 2 2 6 2 3" xfId="10263"/>
    <cellStyle name="20% - Accent5 2 2 6 2 3 2" xfId="18079"/>
    <cellStyle name="20% - Accent5 2 2 6 2 4" xfId="14192"/>
    <cellStyle name="20% - Accent5 2 2 6 3" xfId="1260"/>
    <cellStyle name="20% - Accent5 2 2 6 3 2" xfId="10265"/>
    <cellStyle name="20% - Accent5 2 2 6 3 2 2" xfId="18081"/>
    <cellStyle name="20% - Accent5 2 2 6 3 3" xfId="14194"/>
    <cellStyle name="20% - Accent5 2 2 6 4" xfId="10262"/>
    <cellStyle name="20% - Accent5 2 2 6 4 2" xfId="18078"/>
    <cellStyle name="20% - Accent5 2 2 6 5" xfId="14191"/>
    <cellStyle name="20% - Accent5 2 2 7" xfId="1261"/>
    <cellStyle name="20% - Accent5 2 2 7 2" xfId="1262"/>
    <cellStyle name="20% - Accent5 2 2 7 2 2" xfId="10267"/>
    <cellStyle name="20% - Accent5 2 2 7 2 2 2" xfId="18083"/>
    <cellStyle name="20% - Accent5 2 2 7 2 3" xfId="14196"/>
    <cellStyle name="20% - Accent5 2 2 7 3" xfId="10266"/>
    <cellStyle name="20% - Accent5 2 2 7 3 2" xfId="18082"/>
    <cellStyle name="20% - Accent5 2 2 7 4" xfId="14195"/>
    <cellStyle name="20% - Accent5 2 2 8" xfId="1263"/>
    <cellStyle name="20% - Accent5 2 2 8 2" xfId="10268"/>
    <cellStyle name="20% - Accent5 2 2 8 2 2" xfId="18084"/>
    <cellStyle name="20% - Accent5 2 2 8 3" xfId="14197"/>
    <cellStyle name="20% - Accent5 2 2 9" xfId="10197"/>
    <cellStyle name="20% - Accent5 2 2 9 2" xfId="18013"/>
    <cellStyle name="20% - Accent5 2 3" xfId="1264"/>
    <cellStyle name="20% - Accent5 2 3 2" xfId="1265"/>
    <cellStyle name="20% - Accent5 2 3 2 2" xfId="1266"/>
    <cellStyle name="20% - Accent5 2 3 2 2 2" xfId="1267"/>
    <cellStyle name="20% - Accent5 2 3 2 2 2 2" xfId="1268"/>
    <cellStyle name="20% - Accent5 2 3 2 2 2 2 2" xfId="10273"/>
    <cellStyle name="20% - Accent5 2 3 2 2 2 2 2 2" xfId="18089"/>
    <cellStyle name="20% - Accent5 2 3 2 2 2 2 3" xfId="14202"/>
    <cellStyle name="20% - Accent5 2 3 2 2 2 3" xfId="10272"/>
    <cellStyle name="20% - Accent5 2 3 2 2 2 3 2" xfId="18088"/>
    <cellStyle name="20% - Accent5 2 3 2 2 2 4" xfId="14201"/>
    <cellStyle name="20% - Accent5 2 3 2 2 3" xfId="1269"/>
    <cellStyle name="20% - Accent5 2 3 2 2 3 2" xfId="1270"/>
    <cellStyle name="20% - Accent5 2 3 2 2 3 2 2" xfId="10275"/>
    <cellStyle name="20% - Accent5 2 3 2 2 3 2 2 2" xfId="18091"/>
    <cellStyle name="20% - Accent5 2 3 2 2 3 2 3" xfId="14204"/>
    <cellStyle name="20% - Accent5 2 3 2 2 3 3" xfId="10274"/>
    <cellStyle name="20% - Accent5 2 3 2 2 3 3 2" xfId="18090"/>
    <cellStyle name="20% - Accent5 2 3 2 2 3 4" xfId="14203"/>
    <cellStyle name="20% - Accent5 2 3 2 2 4" xfId="1271"/>
    <cellStyle name="20% - Accent5 2 3 2 2 4 2" xfId="10276"/>
    <cellStyle name="20% - Accent5 2 3 2 2 4 2 2" xfId="18092"/>
    <cellStyle name="20% - Accent5 2 3 2 2 4 3" xfId="14205"/>
    <cellStyle name="20% - Accent5 2 3 2 2 5" xfId="10271"/>
    <cellStyle name="20% - Accent5 2 3 2 2 5 2" xfId="18087"/>
    <cellStyle name="20% - Accent5 2 3 2 2 6" xfId="14200"/>
    <cellStyle name="20% - Accent5 2 3 2 3" xfId="1272"/>
    <cellStyle name="20% - Accent5 2 3 2 3 2" xfId="1273"/>
    <cellStyle name="20% - Accent5 2 3 2 3 2 2" xfId="1274"/>
    <cellStyle name="20% - Accent5 2 3 2 3 2 2 2" xfId="10279"/>
    <cellStyle name="20% - Accent5 2 3 2 3 2 2 2 2" xfId="18095"/>
    <cellStyle name="20% - Accent5 2 3 2 3 2 2 3" xfId="14208"/>
    <cellStyle name="20% - Accent5 2 3 2 3 2 3" xfId="10278"/>
    <cellStyle name="20% - Accent5 2 3 2 3 2 3 2" xfId="18094"/>
    <cellStyle name="20% - Accent5 2 3 2 3 2 4" xfId="14207"/>
    <cellStyle name="20% - Accent5 2 3 2 3 3" xfId="1275"/>
    <cellStyle name="20% - Accent5 2 3 2 3 3 2" xfId="10280"/>
    <cellStyle name="20% - Accent5 2 3 2 3 3 2 2" xfId="18096"/>
    <cellStyle name="20% - Accent5 2 3 2 3 3 3" xfId="14209"/>
    <cellStyle name="20% - Accent5 2 3 2 3 4" xfId="10277"/>
    <cellStyle name="20% - Accent5 2 3 2 3 4 2" xfId="18093"/>
    <cellStyle name="20% - Accent5 2 3 2 3 5" xfId="14206"/>
    <cellStyle name="20% - Accent5 2 3 2 4" xfId="1276"/>
    <cellStyle name="20% - Accent5 2 3 2 4 2" xfId="1277"/>
    <cellStyle name="20% - Accent5 2 3 2 4 2 2" xfId="10282"/>
    <cellStyle name="20% - Accent5 2 3 2 4 2 2 2" xfId="18098"/>
    <cellStyle name="20% - Accent5 2 3 2 4 2 3" xfId="14211"/>
    <cellStyle name="20% - Accent5 2 3 2 4 3" xfId="10281"/>
    <cellStyle name="20% - Accent5 2 3 2 4 3 2" xfId="18097"/>
    <cellStyle name="20% - Accent5 2 3 2 4 4" xfId="14210"/>
    <cellStyle name="20% - Accent5 2 3 2 5" xfId="1278"/>
    <cellStyle name="20% - Accent5 2 3 2 5 2" xfId="10283"/>
    <cellStyle name="20% - Accent5 2 3 2 5 2 2" xfId="18099"/>
    <cellStyle name="20% - Accent5 2 3 2 5 3" xfId="14212"/>
    <cellStyle name="20% - Accent5 2 3 2 6" xfId="10270"/>
    <cellStyle name="20% - Accent5 2 3 2 6 2" xfId="18086"/>
    <cellStyle name="20% - Accent5 2 3 2 7" xfId="14199"/>
    <cellStyle name="20% - Accent5 2 3 3" xfId="1279"/>
    <cellStyle name="20% - Accent5 2 3 3 2" xfId="1280"/>
    <cellStyle name="20% - Accent5 2 3 3 2 2" xfId="1281"/>
    <cellStyle name="20% - Accent5 2 3 3 2 2 2" xfId="1282"/>
    <cellStyle name="20% - Accent5 2 3 3 2 2 2 2" xfId="10287"/>
    <cellStyle name="20% - Accent5 2 3 3 2 2 2 2 2" xfId="18103"/>
    <cellStyle name="20% - Accent5 2 3 3 2 2 2 3" xfId="14216"/>
    <cellStyle name="20% - Accent5 2 3 3 2 2 3" xfId="10286"/>
    <cellStyle name="20% - Accent5 2 3 3 2 2 3 2" xfId="18102"/>
    <cellStyle name="20% - Accent5 2 3 3 2 2 4" xfId="14215"/>
    <cellStyle name="20% - Accent5 2 3 3 2 3" xfId="1283"/>
    <cellStyle name="20% - Accent5 2 3 3 2 3 2" xfId="10288"/>
    <cellStyle name="20% - Accent5 2 3 3 2 3 2 2" xfId="18104"/>
    <cellStyle name="20% - Accent5 2 3 3 2 3 3" xfId="14217"/>
    <cellStyle name="20% - Accent5 2 3 3 2 4" xfId="10285"/>
    <cellStyle name="20% - Accent5 2 3 3 2 4 2" xfId="18101"/>
    <cellStyle name="20% - Accent5 2 3 3 2 5" xfId="14214"/>
    <cellStyle name="20% - Accent5 2 3 3 3" xfId="1284"/>
    <cellStyle name="20% - Accent5 2 3 3 3 2" xfId="1285"/>
    <cellStyle name="20% - Accent5 2 3 3 3 2 2" xfId="10290"/>
    <cellStyle name="20% - Accent5 2 3 3 3 2 2 2" xfId="18106"/>
    <cellStyle name="20% - Accent5 2 3 3 3 2 3" xfId="14219"/>
    <cellStyle name="20% - Accent5 2 3 3 3 3" xfId="10289"/>
    <cellStyle name="20% - Accent5 2 3 3 3 3 2" xfId="18105"/>
    <cellStyle name="20% - Accent5 2 3 3 3 4" xfId="14218"/>
    <cellStyle name="20% - Accent5 2 3 3 4" xfId="1286"/>
    <cellStyle name="20% - Accent5 2 3 3 4 2" xfId="1287"/>
    <cellStyle name="20% - Accent5 2 3 3 4 2 2" xfId="10292"/>
    <cellStyle name="20% - Accent5 2 3 3 4 2 2 2" xfId="18108"/>
    <cellStyle name="20% - Accent5 2 3 3 4 2 3" xfId="14221"/>
    <cellStyle name="20% - Accent5 2 3 3 4 3" xfId="10291"/>
    <cellStyle name="20% - Accent5 2 3 3 4 3 2" xfId="18107"/>
    <cellStyle name="20% - Accent5 2 3 3 4 4" xfId="14220"/>
    <cellStyle name="20% - Accent5 2 3 3 5" xfId="1288"/>
    <cellStyle name="20% - Accent5 2 3 3 5 2" xfId="10293"/>
    <cellStyle name="20% - Accent5 2 3 3 5 2 2" xfId="18109"/>
    <cellStyle name="20% - Accent5 2 3 3 5 3" xfId="14222"/>
    <cellStyle name="20% - Accent5 2 3 3 6" xfId="10284"/>
    <cellStyle name="20% - Accent5 2 3 3 6 2" xfId="18100"/>
    <cellStyle name="20% - Accent5 2 3 3 7" xfId="14213"/>
    <cellStyle name="20% - Accent5 2 3 4" xfId="1289"/>
    <cellStyle name="20% - Accent5 2 3 4 2" xfId="1290"/>
    <cellStyle name="20% - Accent5 2 3 4 2 2" xfId="1291"/>
    <cellStyle name="20% - Accent5 2 3 4 2 2 2" xfId="10296"/>
    <cellStyle name="20% - Accent5 2 3 4 2 2 2 2" xfId="18112"/>
    <cellStyle name="20% - Accent5 2 3 4 2 2 3" xfId="14225"/>
    <cellStyle name="20% - Accent5 2 3 4 2 3" xfId="10295"/>
    <cellStyle name="20% - Accent5 2 3 4 2 3 2" xfId="18111"/>
    <cellStyle name="20% - Accent5 2 3 4 2 4" xfId="14224"/>
    <cellStyle name="20% - Accent5 2 3 4 3" xfId="1292"/>
    <cellStyle name="20% - Accent5 2 3 4 3 2" xfId="10297"/>
    <cellStyle name="20% - Accent5 2 3 4 3 2 2" xfId="18113"/>
    <cellStyle name="20% - Accent5 2 3 4 3 3" xfId="14226"/>
    <cellStyle name="20% - Accent5 2 3 4 4" xfId="10294"/>
    <cellStyle name="20% - Accent5 2 3 4 4 2" xfId="18110"/>
    <cellStyle name="20% - Accent5 2 3 4 5" xfId="14223"/>
    <cellStyle name="20% - Accent5 2 3 5" xfId="1293"/>
    <cellStyle name="20% - Accent5 2 3 5 2" xfId="1294"/>
    <cellStyle name="20% - Accent5 2 3 5 2 2" xfId="10299"/>
    <cellStyle name="20% - Accent5 2 3 5 2 2 2" xfId="18115"/>
    <cellStyle name="20% - Accent5 2 3 5 2 3" xfId="14228"/>
    <cellStyle name="20% - Accent5 2 3 5 3" xfId="10298"/>
    <cellStyle name="20% - Accent5 2 3 5 3 2" xfId="18114"/>
    <cellStyle name="20% - Accent5 2 3 5 4" xfId="14227"/>
    <cellStyle name="20% - Accent5 2 3 6" xfId="1295"/>
    <cellStyle name="20% - Accent5 2 3 6 2" xfId="10300"/>
    <cellStyle name="20% - Accent5 2 3 6 2 2" xfId="18116"/>
    <cellStyle name="20% - Accent5 2 3 6 3" xfId="14229"/>
    <cellStyle name="20% - Accent5 2 3 7" xfId="10269"/>
    <cellStyle name="20% - Accent5 2 3 7 2" xfId="18085"/>
    <cellStyle name="20% - Accent5 2 3 8" xfId="14198"/>
    <cellStyle name="20% - Accent5 2 4" xfId="1296"/>
    <cellStyle name="20% - Accent5 2 4 2" xfId="1297"/>
    <cellStyle name="20% - Accent5 2 4 2 2" xfId="1298"/>
    <cellStyle name="20% - Accent5 2 4 2 2 2" xfId="1299"/>
    <cellStyle name="20% - Accent5 2 4 2 2 2 2" xfId="10304"/>
    <cellStyle name="20% - Accent5 2 4 2 2 2 2 2" xfId="18120"/>
    <cellStyle name="20% - Accent5 2 4 2 2 2 3" xfId="14233"/>
    <cellStyle name="20% - Accent5 2 4 2 2 3" xfId="10303"/>
    <cellStyle name="20% - Accent5 2 4 2 2 3 2" xfId="18119"/>
    <cellStyle name="20% - Accent5 2 4 2 2 4" xfId="14232"/>
    <cellStyle name="20% - Accent5 2 4 2 3" xfId="1300"/>
    <cellStyle name="20% - Accent5 2 4 2 3 2" xfId="1301"/>
    <cellStyle name="20% - Accent5 2 4 2 3 2 2" xfId="10306"/>
    <cellStyle name="20% - Accent5 2 4 2 3 2 2 2" xfId="18122"/>
    <cellStyle name="20% - Accent5 2 4 2 3 2 3" xfId="14235"/>
    <cellStyle name="20% - Accent5 2 4 2 3 3" xfId="10305"/>
    <cellStyle name="20% - Accent5 2 4 2 3 3 2" xfId="18121"/>
    <cellStyle name="20% - Accent5 2 4 2 3 4" xfId="14234"/>
    <cellStyle name="20% - Accent5 2 4 2 4" xfId="1302"/>
    <cellStyle name="20% - Accent5 2 4 2 4 2" xfId="10307"/>
    <cellStyle name="20% - Accent5 2 4 2 4 2 2" xfId="18123"/>
    <cellStyle name="20% - Accent5 2 4 2 4 3" xfId="14236"/>
    <cellStyle name="20% - Accent5 2 4 2 5" xfId="10302"/>
    <cellStyle name="20% - Accent5 2 4 2 5 2" xfId="18118"/>
    <cellStyle name="20% - Accent5 2 4 2 6" xfId="14231"/>
    <cellStyle name="20% - Accent5 2 4 3" xfId="1303"/>
    <cellStyle name="20% - Accent5 2 4 3 2" xfId="1304"/>
    <cellStyle name="20% - Accent5 2 4 3 2 2" xfId="1305"/>
    <cellStyle name="20% - Accent5 2 4 3 2 2 2" xfId="10310"/>
    <cellStyle name="20% - Accent5 2 4 3 2 2 2 2" xfId="18126"/>
    <cellStyle name="20% - Accent5 2 4 3 2 2 3" xfId="14239"/>
    <cellStyle name="20% - Accent5 2 4 3 2 3" xfId="10309"/>
    <cellStyle name="20% - Accent5 2 4 3 2 3 2" xfId="18125"/>
    <cellStyle name="20% - Accent5 2 4 3 2 4" xfId="14238"/>
    <cellStyle name="20% - Accent5 2 4 3 3" xfId="1306"/>
    <cellStyle name="20% - Accent5 2 4 3 3 2" xfId="10311"/>
    <cellStyle name="20% - Accent5 2 4 3 3 2 2" xfId="18127"/>
    <cellStyle name="20% - Accent5 2 4 3 3 3" xfId="14240"/>
    <cellStyle name="20% - Accent5 2 4 3 4" xfId="10308"/>
    <cellStyle name="20% - Accent5 2 4 3 4 2" xfId="18124"/>
    <cellStyle name="20% - Accent5 2 4 3 5" xfId="14237"/>
    <cellStyle name="20% - Accent5 2 4 4" xfId="1307"/>
    <cellStyle name="20% - Accent5 2 4 4 2" xfId="1308"/>
    <cellStyle name="20% - Accent5 2 4 4 2 2" xfId="10313"/>
    <cellStyle name="20% - Accent5 2 4 4 2 2 2" xfId="18129"/>
    <cellStyle name="20% - Accent5 2 4 4 2 3" xfId="14242"/>
    <cellStyle name="20% - Accent5 2 4 4 3" xfId="10312"/>
    <cellStyle name="20% - Accent5 2 4 4 3 2" xfId="18128"/>
    <cellStyle name="20% - Accent5 2 4 4 4" xfId="14241"/>
    <cellStyle name="20% - Accent5 2 4 5" xfId="1309"/>
    <cellStyle name="20% - Accent5 2 4 5 2" xfId="10314"/>
    <cellStyle name="20% - Accent5 2 4 5 2 2" xfId="18130"/>
    <cellStyle name="20% - Accent5 2 4 5 3" xfId="14243"/>
    <cellStyle name="20% - Accent5 2 4 6" xfId="10301"/>
    <cellStyle name="20% - Accent5 2 4 6 2" xfId="18117"/>
    <cellStyle name="20% - Accent5 2 4 7" xfId="14230"/>
    <cellStyle name="20% - Accent5 2 5" xfId="1310"/>
    <cellStyle name="20% - Accent5 2 5 2" xfId="1311"/>
    <cellStyle name="20% - Accent5 2 5 2 2" xfId="1312"/>
    <cellStyle name="20% - Accent5 2 5 2 2 2" xfId="1313"/>
    <cellStyle name="20% - Accent5 2 5 2 2 2 2" xfId="10318"/>
    <cellStyle name="20% - Accent5 2 5 2 2 2 2 2" xfId="18134"/>
    <cellStyle name="20% - Accent5 2 5 2 2 2 3" xfId="14247"/>
    <cellStyle name="20% - Accent5 2 5 2 2 3" xfId="10317"/>
    <cellStyle name="20% - Accent5 2 5 2 2 3 2" xfId="18133"/>
    <cellStyle name="20% - Accent5 2 5 2 2 4" xfId="14246"/>
    <cellStyle name="20% - Accent5 2 5 2 3" xfId="1314"/>
    <cellStyle name="20% - Accent5 2 5 2 3 2" xfId="10319"/>
    <cellStyle name="20% - Accent5 2 5 2 3 2 2" xfId="18135"/>
    <cellStyle name="20% - Accent5 2 5 2 3 3" xfId="14248"/>
    <cellStyle name="20% - Accent5 2 5 2 4" xfId="10316"/>
    <cellStyle name="20% - Accent5 2 5 2 4 2" xfId="18132"/>
    <cellStyle name="20% - Accent5 2 5 2 5" xfId="14245"/>
    <cellStyle name="20% - Accent5 2 5 3" xfId="1315"/>
    <cellStyle name="20% - Accent5 2 5 3 2" xfId="1316"/>
    <cellStyle name="20% - Accent5 2 5 3 2 2" xfId="10321"/>
    <cellStyle name="20% - Accent5 2 5 3 2 2 2" xfId="18137"/>
    <cellStyle name="20% - Accent5 2 5 3 2 3" xfId="14250"/>
    <cellStyle name="20% - Accent5 2 5 3 3" xfId="10320"/>
    <cellStyle name="20% - Accent5 2 5 3 3 2" xfId="18136"/>
    <cellStyle name="20% - Accent5 2 5 3 4" xfId="14249"/>
    <cellStyle name="20% - Accent5 2 5 4" xfId="1317"/>
    <cellStyle name="20% - Accent5 2 5 4 2" xfId="10322"/>
    <cellStyle name="20% - Accent5 2 5 4 2 2" xfId="18138"/>
    <cellStyle name="20% - Accent5 2 5 4 3" xfId="14251"/>
    <cellStyle name="20% - Accent5 2 5 5" xfId="10315"/>
    <cellStyle name="20% - Accent5 2 5 5 2" xfId="18131"/>
    <cellStyle name="20% - Accent5 2 5 6" xfId="14244"/>
    <cellStyle name="20% - Accent5 2 6" xfId="1318"/>
    <cellStyle name="20% - Accent5 2 6 2" xfId="1319"/>
    <cellStyle name="20% - Accent5 2 6 2 2" xfId="1320"/>
    <cellStyle name="20% - Accent5 2 6 2 2 2" xfId="1321"/>
    <cellStyle name="20% - Accent5 2 6 2 2 2 2" xfId="10326"/>
    <cellStyle name="20% - Accent5 2 6 2 2 2 2 2" xfId="18142"/>
    <cellStyle name="20% - Accent5 2 6 2 2 2 3" xfId="14255"/>
    <cellStyle name="20% - Accent5 2 6 2 2 3" xfId="10325"/>
    <cellStyle name="20% - Accent5 2 6 2 2 3 2" xfId="18141"/>
    <cellStyle name="20% - Accent5 2 6 2 2 4" xfId="14254"/>
    <cellStyle name="20% - Accent5 2 6 2 3" xfId="1322"/>
    <cellStyle name="20% - Accent5 2 6 2 3 2" xfId="10327"/>
    <cellStyle name="20% - Accent5 2 6 2 3 2 2" xfId="18143"/>
    <cellStyle name="20% - Accent5 2 6 2 3 3" xfId="14256"/>
    <cellStyle name="20% - Accent5 2 6 2 4" xfId="10324"/>
    <cellStyle name="20% - Accent5 2 6 2 4 2" xfId="18140"/>
    <cellStyle name="20% - Accent5 2 6 2 5" xfId="14253"/>
    <cellStyle name="20% - Accent5 2 6 3" xfId="1323"/>
    <cellStyle name="20% - Accent5 2 6 3 2" xfId="1324"/>
    <cellStyle name="20% - Accent5 2 6 3 2 2" xfId="10329"/>
    <cellStyle name="20% - Accent5 2 6 3 2 2 2" xfId="18145"/>
    <cellStyle name="20% - Accent5 2 6 3 2 3" xfId="14258"/>
    <cellStyle name="20% - Accent5 2 6 3 3" xfId="10328"/>
    <cellStyle name="20% - Accent5 2 6 3 3 2" xfId="18144"/>
    <cellStyle name="20% - Accent5 2 6 3 4" xfId="14257"/>
    <cellStyle name="20% - Accent5 2 6 4" xfId="1325"/>
    <cellStyle name="20% - Accent5 2 6 4 2" xfId="10330"/>
    <cellStyle name="20% - Accent5 2 6 4 2 2" xfId="18146"/>
    <cellStyle name="20% - Accent5 2 6 4 3" xfId="14259"/>
    <cellStyle name="20% - Accent5 2 6 5" xfId="10323"/>
    <cellStyle name="20% - Accent5 2 6 5 2" xfId="18139"/>
    <cellStyle name="20% - Accent5 2 6 6" xfId="14252"/>
    <cellStyle name="20% - Accent5 2 7" xfId="1326"/>
    <cellStyle name="20% - Accent5 2 7 2" xfId="1327"/>
    <cellStyle name="20% - Accent5 2 7 2 2" xfId="1328"/>
    <cellStyle name="20% - Accent5 2 7 2 2 2" xfId="10333"/>
    <cellStyle name="20% - Accent5 2 7 2 2 2 2" xfId="18149"/>
    <cellStyle name="20% - Accent5 2 7 2 2 3" xfId="14262"/>
    <cellStyle name="20% - Accent5 2 7 2 3" xfId="10332"/>
    <cellStyle name="20% - Accent5 2 7 2 3 2" xfId="18148"/>
    <cellStyle name="20% - Accent5 2 7 2 4" xfId="14261"/>
    <cellStyle name="20% - Accent5 2 7 3" xfId="1329"/>
    <cellStyle name="20% - Accent5 2 7 3 2" xfId="10334"/>
    <cellStyle name="20% - Accent5 2 7 3 2 2" xfId="18150"/>
    <cellStyle name="20% - Accent5 2 7 3 3" xfId="14263"/>
    <cellStyle name="20% - Accent5 2 7 4" xfId="10331"/>
    <cellStyle name="20% - Accent5 2 7 4 2" xfId="18147"/>
    <cellStyle name="20% - Accent5 2 7 5" xfId="14260"/>
    <cellStyle name="20% - Accent5 2 8" xfId="1330"/>
    <cellStyle name="20% - Accent5 2 8 2" xfId="1331"/>
    <cellStyle name="20% - Accent5 2 8 2 2" xfId="10336"/>
    <cellStyle name="20% - Accent5 2 8 2 2 2" xfId="18152"/>
    <cellStyle name="20% - Accent5 2 8 2 3" xfId="14265"/>
    <cellStyle name="20% - Accent5 2 8 3" xfId="10335"/>
    <cellStyle name="20% - Accent5 2 8 3 2" xfId="18151"/>
    <cellStyle name="20% - Accent5 2 8 4" xfId="14264"/>
    <cellStyle name="20% - Accent5 2 9" xfId="1332"/>
    <cellStyle name="20% - Accent5 2 9 2" xfId="1333"/>
    <cellStyle name="20% - Accent5 2 9 2 2" xfId="10338"/>
    <cellStyle name="20% - Accent5 2 9 2 2 2" xfId="18154"/>
    <cellStyle name="20% - Accent5 2 9 2 3" xfId="14267"/>
    <cellStyle name="20% - Accent5 2 9 3" xfId="10337"/>
    <cellStyle name="20% - Accent5 2 9 3 2" xfId="18153"/>
    <cellStyle name="20% - Accent5 2 9 4" xfId="14266"/>
    <cellStyle name="20% - Accent5 3" xfId="1334"/>
    <cellStyle name="20% - Accent5 3 2" xfId="1335"/>
    <cellStyle name="20% - Accent5 3 2 2" xfId="1336"/>
    <cellStyle name="20% - Accent5 3 2 2 2" xfId="1337"/>
    <cellStyle name="20% - Accent5 3 2 2 2 2" xfId="1338"/>
    <cellStyle name="20% - Accent5 3 2 2 2 2 2" xfId="1339"/>
    <cellStyle name="20% - Accent5 3 2 2 2 2 2 2" xfId="10343"/>
    <cellStyle name="20% - Accent5 3 2 2 2 2 2 2 2" xfId="18159"/>
    <cellStyle name="20% - Accent5 3 2 2 2 2 2 3" xfId="14272"/>
    <cellStyle name="20% - Accent5 3 2 2 2 2 3" xfId="10342"/>
    <cellStyle name="20% - Accent5 3 2 2 2 2 3 2" xfId="18158"/>
    <cellStyle name="20% - Accent5 3 2 2 2 2 4" xfId="14271"/>
    <cellStyle name="20% - Accent5 3 2 2 2 3" xfId="1340"/>
    <cellStyle name="20% - Accent5 3 2 2 2 3 2" xfId="1341"/>
    <cellStyle name="20% - Accent5 3 2 2 2 3 2 2" xfId="10345"/>
    <cellStyle name="20% - Accent5 3 2 2 2 3 2 2 2" xfId="18161"/>
    <cellStyle name="20% - Accent5 3 2 2 2 3 2 3" xfId="14274"/>
    <cellStyle name="20% - Accent5 3 2 2 2 3 3" xfId="10344"/>
    <cellStyle name="20% - Accent5 3 2 2 2 3 3 2" xfId="18160"/>
    <cellStyle name="20% - Accent5 3 2 2 2 3 4" xfId="14273"/>
    <cellStyle name="20% - Accent5 3 2 2 2 4" xfId="1342"/>
    <cellStyle name="20% - Accent5 3 2 2 2 4 2" xfId="10346"/>
    <cellStyle name="20% - Accent5 3 2 2 2 4 2 2" xfId="18162"/>
    <cellStyle name="20% - Accent5 3 2 2 2 4 3" xfId="14275"/>
    <cellStyle name="20% - Accent5 3 2 2 2 5" xfId="10341"/>
    <cellStyle name="20% - Accent5 3 2 2 2 5 2" xfId="18157"/>
    <cellStyle name="20% - Accent5 3 2 2 2 6" xfId="14270"/>
    <cellStyle name="20% - Accent5 3 2 2 3" xfId="1343"/>
    <cellStyle name="20% - Accent5 3 2 2 3 2" xfId="1344"/>
    <cellStyle name="20% - Accent5 3 2 2 3 2 2" xfId="1345"/>
    <cellStyle name="20% - Accent5 3 2 2 3 2 2 2" xfId="10349"/>
    <cellStyle name="20% - Accent5 3 2 2 3 2 2 2 2" xfId="18165"/>
    <cellStyle name="20% - Accent5 3 2 2 3 2 2 3" xfId="14278"/>
    <cellStyle name="20% - Accent5 3 2 2 3 2 3" xfId="10348"/>
    <cellStyle name="20% - Accent5 3 2 2 3 2 3 2" xfId="18164"/>
    <cellStyle name="20% - Accent5 3 2 2 3 2 4" xfId="14277"/>
    <cellStyle name="20% - Accent5 3 2 2 3 3" xfId="1346"/>
    <cellStyle name="20% - Accent5 3 2 2 3 3 2" xfId="10350"/>
    <cellStyle name="20% - Accent5 3 2 2 3 3 2 2" xfId="18166"/>
    <cellStyle name="20% - Accent5 3 2 2 3 3 3" xfId="14279"/>
    <cellStyle name="20% - Accent5 3 2 2 3 4" xfId="10347"/>
    <cellStyle name="20% - Accent5 3 2 2 3 4 2" xfId="18163"/>
    <cellStyle name="20% - Accent5 3 2 2 3 5" xfId="14276"/>
    <cellStyle name="20% - Accent5 3 2 2 4" xfId="1347"/>
    <cellStyle name="20% - Accent5 3 2 2 4 2" xfId="1348"/>
    <cellStyle name="20% - Accent5 3 2 2 4 2 2" xfId="10352"/>
    <cellStyle name="20% - Accent5 3 2 2 4 2 2 2" xfId="18168"/>
    <cellStyle name="20% - Accent5 3 2 2 4 2 3" xfId="14281"/>
    <cellStyle name="20% - Accent5 3 2 2 4 3" xfId="10351"/>
    <cellStyle name="20% - Accent5 3 2 2 4 3 2" xfId="18167"/>
    <cellStyle name="20% - Accent5 3 2 2 4 4" xfId="14280"/>
    <cellStyle name="20% - Accent5 3 2 2 5" xfId="1349"/>
    <cellStyle name="20% - Accent5 3 2 2 5 2" xfId="10353"/>
    <cellStyle name="20% - Accent5 3 2 2 5 2 2" xfId="18169"/>
    <cellStyle name="20% - Accent5 3 2 2 5 3" xfId="14282"/>
    <cellStyle name="20% - Accent5 3 2 2 6" xfId="10340"/>
    <cellStyle name="20% - Accent5 3 2 2 6 2" xfId="18156"/>
    <cellStyle name="20% - Accent5 3 2 2 7" xfId="14269"/>
    <cellStyle name="20% - Accent5 3 2 3" xfId="1350"/>
    <cellStyle name="20% - Accent5 3 2 3 2" xfId="1351"/>
    <cellStyle name="20% - Accent5 3 2 3 2 2" xfId="1352"/>
    <cellStyle name="20% - Accent5 3 2 3 2 2 2" xfId="1353"/>
    <cellStyle name="20% - Accent5 3 2 3 2 2 2 2" xfId="10357"/>
    <cellStyle name="20% - Accent5 3 2 3 2 2 2 2 2" xfId="18173"/>
    <cellStyle name="20% - Accent5 3 2 3 2 2 2 3" xfId="14286"/>
    <cellStyle name="20% - Accent5 3 2 3 2 2 3" xfId="10356"/>
    <cellStyle name="20% - Accent5 3 2 3 2 2 3 2" xfId="18172"/>
    <cellStyle name="20% - Accent5 3 2 3 2 2 4" xfId="14285"/>
    <cellStyle name="20% - Accent5 3 2 3 2 3" xfId="1354"/>
    <cellStyle name="20% - Accent5 3 2 3 2 3 2" xfId="10358"/>
    <cellStyle name="20% - Accent5 3 2 3 2 3 2 2" xfId="18174"/>
    <cellStyle name="20% - Accent5 3 2 3 2 3 3" xfId="14287"/>
    <cellStyle name="20% - Accent5 3 2 3 2 4" xfId="10355"/>
    <cellStyle name="20% - Accent5 3 2 3 2 4 2" xfId="18171"/>
    <cellStyle name="20% - Accent5 3 2 3 2 5" xfId="14284"/>
    <cellStyle name="20% - Accent5 3 2 3 3" xfId="1355"/>
    <cellStyle name="20% - Accent5 3 2 3 3 2" xfId="1356"/>
    <cellStyle name="20% - Accent5 3 2 3 3 2 2" xfId="10360"/>
    <cellStyle name="20% - Accent5 3 2 3 3 2 2 2" xfId="18176"/>
    <cellStyle name="20% - Accent5 3 2 3 3 2 3" xfId="14289"/>
    <cellStyle name="20% - Accent5 3 2 3 3 3" xfId="10359"/>
    <cellStyle name="20% - Accent5 3 2 3 3 3 2" xfId="18175"/>
    <cellStyle name="20% - Accent5 3 2 3 3 4" xfId="14288"/>
    <cellStyle name="20% - Accent5 3 2 3 4" xfId="1357"/>
    <cellStyle name="20% - Accent5 3 2 3 4 2" xfId="1358"/>
    <cellStyle name="20% - Accent5 3 2 3 4 2 2" xfId="10362"/>
    <cellStyle name="20% - Accent5 3 2 3 4 2 2 2" xfId="18178"/>
    <cellStyle name="20% - Accent5 3 2 3 4 2 3" xfId="14291"/>
    <cellStyle name="20% - Accent5 3 2 3 4 3" xfId="10361"/>
    <cellStyle name="20% - Accent5 3 2 3 4 3 2" xfId="18177"/>
    <cellStyle name="20% - Accent5 3 2 3 4 4" xfId="14290"/>
    <cellStyle name="20% - Accent5 3 2 3 5" xfId="1359"/>
    <cellStyle name="20% - Accent5 3 2 3 5 2" xfId="10363"/>
    <cellStyle name="20% - Accent5 3 2 3 5 2 2" xfId="18179"/>
    <cellStyle name="20% - Accent5 3 2 3 5 3" xfId="14292"/>
    <cellStyle name="20% - Accent5 3 2 3 6" xfId="10354"/>
    <cellStyle name="20% - Accent5 3 2 3 6 2" xfId="18170"/>
    <cellStyle name="20% - Accent5 3 2 3 7" xfId="14283"/>
    <cellStyle name="20% - Accent5 3 2 4" xfId="1360"/>
    <cellStyle name="20% - Accent5 3 2 4 2" xfId="1361"/>
    <cellStyle name="20% - Accent5 3 2 4 2 2" xfId="1362"/>
    <cellStyle name="20% - Accent5 3 2 4 2 2 2" xfId="10366"/>
    <cellStyle name="20% - Accent5 3 2 4 2 2 2 2" xfId="18182"/>
    <cellStyle name="20% - Accent5 3 2 4 2 2 3" xfId="14295"/>
    <cellStyle name="20% - Accent5 3 2 4 2 3" xfId="10365"/>
    <cellStyle name="20% - Accent5 3 2 4 2 3 2" xfId="18181"/>
    <cellStyle name="20% - Accent5 3 2 4 2 4" xfId="14294"/>
    <cellStyle name="20% - Accent5 3 2 4 3" xfId="1363"/>
    <cellStyle name="20% - Accent5 3 2 4 3 2" xfId="10367"/>
    <cellStyle name="20% - Accent5 3 2 4 3 2 2" xfId="18183"/>
    <cellStyle name="20% - Accent5 3 2 4 3 3" xfId="14296"/>
    <cellStyle name="20% - Accent5 3 2 4 4" xfId="10364"/>
    <cellStyle name="20% - Accent5 3 2 4 4 2" xfId="18180"/>
    <cellStyle name="20% - Accent5 3 2 4 5" xfId="14293"/>
    <cellStyle name="20% - Accent5 3 2 5" xfId="1364"/>
    <cellStyle name="20% - Accent5 3 2 5 2" xfId="1365"/>
    <cellStyle name="20% - Accent5 3 2 5 2 2" xfId="10369"/>
    <cellStyle name="20% - Accent5 3 2 5 2 2 2" xfId="18185"/>
    <cellStyle name="20% - Accent5 3 2 5 2 3" xfId="14298"/>
    <cellStyle name="20% - Accent5 3 2 5 3" xfId="10368"/>
    <cellStyle name="20% - Accent5 3 2 5 3 2" xfId="18184"/>
    <cellStyle name="20% - Accent5 3 2 5 4" xfId="14297"/>
    <cellStyle name="20% - Accent5 3 2 6" xfId="1366"/>
    <cellStyle name="20% - Accent5 3 2 6 2" xfId="10370"/>
    <cellStyle name="20% - Accent5 3 2 6 2 2" xfId="18186"/>
    <cellStyle name="20% - Accent5 3 2 6 3" xfId="14299"/>
    <cellStyle name="20% - Accent5 3 2 7" xfId="10339"/>
    <cellStyle name="20% - Accent5 3 2 7 2" xfId="18155"/>
    <cellStyle name="20% - Accent5 3 2 8" xfId="14268"/>
    <cellStyle name="20% - Accent5 3 3" xfId="1367"/>
    <cellStyle name="20% - Accent5 3 3 2" xfId="1368"/>
    <cellStyle name="20% - Accent5 3 3 2 2" xfId="1369"/>
    <cellStyle name="20% - Accent5 3 3 2 2 2" xfId="1370"/>
    <cellStyle name="20% - Accent5 3 3 2 2 2 2" xfId="10374"/>
    <cellStyle name="20% - Accent5 3 3 2 2 2 2 2" xfId="18190"/>
    <cellStyle name="20% - Accent5 3 3 2 2 2 3" xfId="14303"/>
    <cellStyle name="20% - Accent5 3 3 2 2 3" xfId="10373"/>
    <cellStyle name="20% - Accent5 3 3 2 2 3 2" xfId="18189"/>
    <cellStyle name="20% - Accent5 3 3 2 2 4" xfId="14302"/>
    <cellStyle name="20% - Accent5 3 3 2 3" xfId="1371"/>
    <cellStyle name="20% - Accent5 3 3 2 3 2" xfId="1372"/>
    <cellStyle name="20% - Accent5 3 3 2 3 2 2" xfId="10376"/>
    <cellStyle name="20% - Accent5 3 3 2 3 2 2 2" xfId="18192"/>
    <cellStyle name="20% - Accent5 3 3 2 3 2 3" xfId="14305"/>
    <cellStyle name="20% - Accent5 3 3 2 3 3" xfId="10375"/>
    <cellStyle name="20% - Accent5 3 3 2 3 3 2" xfId="18191"/>
    <cellStyle name="20% - Accent5 3 3 2 3 4" xfId="14304"/>
    <cellStyle name="20% - Accent5 3 3 2 4" xfId="1373"/>
    <cellStyle name="20% - Accent5 3 3 2 4 2" xfId="10377"/>
    <cellStyle name="20% - Accent5 3 3 2 4 2 2" xfId="18193"/>
    <cellStyle name="20% - Accent5 3 3 2 4 3" xfId="14306"/>
    <cellStyle name="20% - Accent5 3 3 2 5" xfId="10372"/>
    <cellStyle name="20% - Accent5 3 3 2 5 2" xfId="18188"/>
    <cellStyle name="20% - Accent5 3 3 2 6" xfId="14301"/>
    <cellStyle name="20% - Accent5 3 3 3" xfId="1374"/>
    <cellStyle name="20% - Accent5 3 3 3 2" xfId="1375"/>
    <cellStyle name="20% - Accent5 3 3 3 2 2" xfId="1376"/>
    <cellStyle name="20% - Accent5 3 3 3 2 2 2" xfId="10380"/>
    <cellStyle name="20% - Accent5 3 3 3 2 2 2 2" xfId="18196"/>
    <cellStyle name="20% - Accent5 3 3 3 2 2 3" xfId="14309"/>
    <cellStyle name="20% - Accent5 3 3 3 2 3" xfId="10379"/>
    <cellStyle name="20% - Accent5 3 3 3 2 3 2" xfId="18195"/>
    <cellStyle name="20% - Accent5 3 3 3 2 4" xfId="14308"/>
    <cellStyle name="20% - Accent5 3 3 3 3" xfId="1377"/>
    <cellStyle name="20% - Accent5 3 3 3 3 2" xfId="10381"/>
    <cellStyle name="20% - Accent5 3 3 3 3 2 2" xfId="18197"/>
    <cellStyle name="20% - Accent5 3 3 3 3 3" xfId="14310"/>
    <cellStyle name="20% - Accent5 3 3 3 4" xfId="10378"/>
    <cellStyle name="20% - Accent5 3 3 3 4 2" xfId="18194"/>
    <cellStyle name="20% - Accent5 3 3 3 5" xfId="14307"/>
    <cellStyle name="20% - Accent5 3 3 4" xfId="1378"/>
    <cellStyle name="20% - Accent5 3 3 4 2" xfId="1379"/>
    <cellStyle name="20% - Accent5 3 3 4 2 2" xfId="10383"/>
    <cellStyle name="20% - Accent5 3 3 4 2 2 2" xfId="18199"/>
    <cellStyle name="20% - Accent5 3 3 4 2 3" xfId="14312"/>
    <cellStyle name="20% - Accent5 3 3 4 3" xfId="10382"/>
    <cellStyle name="20% - Accent5 3 3 4 3 2" xfId="18198"/>
    <cellStyle name="20% - Accent5 3 3 4 4" xfId="14311"/>
    <cellStyle name="20% - Accent5 3 3 5" xfId="1380"/>
    <cellStyle name="20% - Accent5 3 3 5 2" xfId="10384"/>
    <cellStyle name="20% - Accent5 3 3 5 2 2" xfId="18200"/>
    <cellStyle name="20% - Accent5 3 3 5 3" xfId="14313"/>
    <cellStyle name="20% - Accent5 3 3 6" xfId="10371"/>
    <cellStyle name="20% - Accent5 3 3 6 2" xfId="18187"/>
    <cellStyle name="20% - Accent5 3 3 7" xfId="14300"/>
    <cellStyle name="20% - Accent5 3 4" xfId="1381"/>
    <cellStyle name="20% - Accent5 3 4 2" xfId="1382"/>
    <cellStyle name="20% - Accent5 3 4 2 2" xfId="1383"/>
    <cellStyle name="20% - Accent5 3 4 2 2 2" xfId="1384"/>
    <cellStyle name="20% - Accent5 3 4 2 2 2 2" xfId="10388"/>
    <cellStyle name="20% - Accent5 3 4 2 2 2 2 2" xfId="18204"/>
    <cellStyle name="20% - Accent5 3 4 2 2 2 3" xfId="14317"/>
    <cellStyle name="20% - Accent5 3 4 2 2 3" xfId="10387"/>
    <cellStyle name="20% - Accent5 3 4 2 2 3 2" xfId="18203"/>
    <cellStyle name="20% - Accent5 3 4 2 2 4" xfId="14316"/>
    <cellStyle name="20% - Accent5 3 4 2 3" xfId="1385"/>
    <cellStyle name="20% - Accent5 3 4 2 3 2" xfId="10389"/>
    <cellStyle name="20% - Accent5 3 4 2 3 2 2" xfId="18205"/>
    <cellStyle name="20% - Accent5 3 4 2 3 3" xfId="14318"/>
    <cellStyle name="20% - Accent5 3 4 2 4" xfId="10386"/>
    <cellStyle name="20% - Accent5 3 4 2 4 2" xfId="18202"/>
    <cellStyle name="20% - Accent5 3 4 2 5" xfId="14315"/>
    <cellStyle name="20% - Accent5 3 4 3" xfId="1386"/>
    <cellStyle name="20% - Accent5 3 4 3 2" xfId="1387"/>
    <cellStyle name="20% - Accent5 3 4 3 2 2" xfId="10391"/>
    <cellStyle name="20% - Accent5 3 4 3 2 2 2" xfId="18207"/>
    <cellStyle name="20% - Accent5 3 4 3 2 3" xfId="14320"/>
    <cellStyle name="20% - Accent5 3 4 3 3" xfId="10390"/>
    <cellStyle name="20% - Accent5 3 4 3 3 2" xfId="18206"/>
    <cellStyle name="20% - Accent5 3 4 3 4" xfId="14319"/>
    <cellStyle name="20% - Accent5 3 4 4" xfId="1388"/>
    <cellStyle name="20% - Accent5 3 4 4 2" xfId="10392"/>
    <cellStyle name="20% - Accent5 3 4 4 2 2" xfId="18208"/>
    <cellStyle name="20% - Accent5 3 4 4 3" xfId="14321"/>
    <cellStyle name="20% - Accent5 3 4 5" xfId="10385"/>
    <cellStyle name="20% - Accent5 3 4 5 2" xfId="18201"/>
    <cellStyle name="20% - Accent5 3 4 6" xfId="14314"/>
    <cellStyle name="20% - Accent5 3 5" xfId="1389"/>
    <cellStyle name="20% - Accent5 3 5 2" xfId="1390"/>
    <cellStyle name="20% - Accent5 3 5 2 2" xfId="1391"/>
    <cellStyle name="20% - Accent5 3 5 2 2 2" xfId="1392"/>
    <cellStyle name="20% - Accent5 3 5 2 2 2 2" xfId="10396"/>
    <cellStyle name="20% - Accent5 3 5 2 2 2 2 2" xfId="18212"/>
    <cellStyle name="20% - Accent5 3 5 2 2 2 3" xfId="14325"/>
    <cellStyle name="20% - Accent5 3 5 2 2 3" xfId="10395"/>
    <cellStyle name="20% - Accent5 3 5 2 2 3 2" xfId="18211"/>
    <cellStyle name="20% - Accent5 3 5 2 2 4" xfId="14324"/>
    <cellStyle name="20% - Accent5 3 5 2 3" xfId="1393"/>
    <cellStyle name="20% - Accent5 3 5 2 3 2" xfId="10397"/>
    <cellStyle name="20% - Accent5 3 5 2 3 2 2" xfId="18213"/>
    <cellStyle name="20% - Accent5 3 5 2 3 3" xfId="14326"/>
    <cellStyle name="20% - Accent5 3 5 2 4" xfId="10394"/>
    <cellStyle name="20% - Accent5 3 5 2 4 2" xfId="18210"/>
    <cellStyle name="20% - Accent5 3 5 2 5" xfId="14323"/>
    <cellStyle name="20% - Accent5 3 5 3" xfId="1394"/>
    <cellStyle name="20% - Accent5 3 5 3 2" xfId="1395"/>
    <cellStyle name="20% - Accent5 3 5 3 2 2" xfId="10399"/>
    <cellStyle name="20% - Accent5 3 5 3 2 2 2" xfId="18215"/>
    <cellStyle name="20% - Accent5 3 5 3 2 3" xfId="14328"/>
    <cellStyle name="20% - Accent5 3 5 3 3" xfId="10398"/>
    <cellStyle name="20% - Accent5 3 5 3 3 2" xfId="18214"/>
    <cellStyle name="20% - Accent5 3 5 3 4" xfId="14327"/>
    <cellStyle name="20% - Accent5 3 5 4" xfId="1396"/>
    <cellStyle name="20% - Accent5 3 5 4 2" xfId="1397"/>
    <cellStyle name="20% - Accent5 3 5 4 2 2" xfId="10401"/>
    <cellStyle name="20% - Accent5 3 5 4 2 2 2" xfId="18217"/>
    <cellStyle name="20% - Accent5 3 5 4 2 3" xfId="14330"/>
    <cellStyle name="20% - Accent5 3 5 4 3" xfId="10400"/>
    <cellStyle name="20% - Accent5 3 5 4 3 2" xfId="18216"/>
    <cellStyle name="20% - Accent5 3 5 4 4" xfId="14329"/>
    <cellStyle name="20% - Accent5 3 5 5" xfId="1398"/>
    <cellStyle name="20% - Accent5 3 5 5 2" xfId="10402"/>
    <cellStyle name="20% - Accent5 3 5 5 2 2" xfId="18218"/>
    <cellStyle name="20% - Accent5 3 5 5 3" xfId="14331"/>
    <cellStyle name="20% - Accent5 3 5 6" xfId="10393"/>
    <cellStyle name="20% - Accent5 3 5 6 2" xfId="18209"/>
    <cellStyle name="20% - Accent5 3 5 7" xfId="14322"/>
    <cellStyle name="20% - Accent5 3 6" xfId="1399"/>
    <cellStyle name="20% - Accent5 3 6 2" xfId="1400"/>
    <cellStyle name="20% - Accent5 3 6 2 2" xfId="1401"/>
    <cellStyle name="20% - Accent5 3 6 2 2 2" xfId="10405"/>
    <cellStyle name="20% - Accent5 3 6 2 2 2 2" xfId="18221"/>
    <cellStyle name="20% - Accent5 3 6 2 2 3" xfId="14334"/>
    <cellStyle name="20% - Accent5 3 6 2 3" xfId="10404"/>
    <cellStyle name="20% - Accent5 3 6 2 3 2" xfId="18220"/>
    <cellStyle name="20% - Accent5 3 6 2 4" xfId="14333"/>
    <cellStyle name="20% - Accent5 3 6 3" xfId="1402"/>
    <cellStyle name="20% - Accent5 3 6 3 2" xfId="10406"/>
    <cellStyle name="20% - Accent5 3 6 3 2 2" xfId="18222"/>
    <cellStyle name="20% - Accent5 3 6 3 3" xfId="14335"/>
    <cellStyle name="20% - Accent5 3 6 4" xfId="10403"/>
    <cellStyle name="20% - Accent5 3 6 4 2" xfId="18219"/>
    <cellStyle name="20% - Accent5 3 6 5" xfId="14332"/>
    <cellStyle name="20% - Accent5 3 7" xfId="1403"/>
    <cellStyle name="20% - Accent5 3 7 2" xfId="1404"/>
    <cellStyle name="20% - Accent5 3 7 2 2" xfId="10408"/>
    <cellStyle name="20% - Accent5 3 7 2 2 2" xfId="18224"/>
    <cellStyle name="20% - Accent5 3 7 2 3" xfId="14337"/>
    <cellStyle name="20% - Accent5 3 7 3" xfId="10407"/>
    <cellStyle name="20% - Accent5 3 7 3 2" xfId="18223"/>
    <cellStyle name="20% - Accent5 3 7 4" xfId="14336"/>
    <cellStyle name="20% - Accent5 3 8" xfId="1405"/>
    <cellStyle name="20% - Accent5 3 8 2" xfId="10409"/>
    <cellStyle name="20% - Accent5 3 8 2 2" xfId="18225"/>
    <cellStyle name="20% - Accent5 3 8 3" xfId="14338"/>
    <cellStyle name="20% - Accent5 3 9" xfId="1406"/>
    <cellStyle name="20% - Accent5 3 9 2" xfId="10410"/>
    <cellStyle name="20% - Accent5 3 9 2 2" xfId="18226"/>
    <cellStyle name="20% - Accent5 3 9 3" xfId="14339"/>
    <cellStyle name="20% - Accent5 4" xfId="1407"/>
    <cellStyle name="20% - Accent5 4 2" xfId="1408"/>
    <cellStyle name="20% - Accent5 4 2 2" xfId="1409"/>
    <cellStyle name="20% - Accent5 4 2 2 2" xfId="1410"/>
    <cellStyle name="20% - Accent5 4 2 2 2 2" xfId="1411"/>
    <cellStyle name="20% - Accent5 4 2 2 2 2 2" xfId="10415"/>
    <cellStyle name="20% - Accent5 4 2 2 2 2 2 2" xfId="18231"/>
    <cellStyle name="20% - Accent5 4 2 2 2 2 3" xfId="14344"/>
    <cellStyle name="20% - Accent5 4 2 2 2 3" xfId="10414"/>
    <cellStyle name="20% - Accent5 4 2 2 2 3 2" xfId="18230"/>
    <cellStyle name="20% - Accent5 4 2 2 2 4" xfId="14343"/>
    <cellStyle name="20% - Accent5 4 2 2 3" xfId="1412"/>
    <cellStyle name="20% - Accent5 4 2 2 3 2" xfId="1413"/>
    <cellStyle name="20% - Accent5 4 2 2 3 2 2" xfId="10417"/>
    <cellStyle name="20% - Accent5 4 2 2 3 2 2 2" xfId="18233"/>
    <cellStyle name="20% - Accent5 4 2 2 3 2 3" xfId="14346"/>
    <cellStyle name="20% - Accent5 4 2 2 3 3" xfId="10416"/>
    <cellStyle name="20% - Accent5 4 2 2 3 3 2" xfId="18232"/>
    <cellStyle name="20% - Accent5 4 2 2 3 4" xfId="14345"/>
    <cellStyle name="20% - Accent5 4 2 2 4" xfId="1414"/>
    <cellStyle name="20% - Accent5 4 2 2 4 2" xfId="10418"/>
    <cellStyle name="20% - Accent5 4 2 2 4 2 2" xfId="18234"/>
    <cellStyle name="20% - Accent5 4 2 2 4 3" xfId="14347"/>
    <cellStyle name="20% - Accent5 4 2 2 5" xfId="10413"/>
    <cellStyle name="20% - Accent5 4 2 2 5 2" xfId="18229"/>
    <cellStyle name="20% - Accent5 4 2 2 6" xfId="14342"/>
    <cellStyle name="20% - Accent5 4 2 3" xfId="1415"/>
    <cellStyle name="20% - Accent5 4 2 3 2" xfId="1416"/>
    <cellStyle name="20% - Accent5 4 2 3 2 2" xfId="1417"/>
    <cellStyle name="20% - Accent5 4 2 3 2 2 2" xfId="10421"/>
    <cellStyle name="20% - Accent5 4 2 3 2 2 2 2" xfId="18237"/>
    <cellStyle name="20% - Accent5 4 2 3 2 2 3" xfId="14350"/>
    <cellStyle name="20% - Accent5 4 2 3 2 3" xfId="10420"/>
    <cellStyle name="20% - Accent5 4 2 3 2 3 2" xfId="18236"/>
    <cellStyle name="20% - Accent5 4 2 3 2 4" xfId="14349"/>
    <cellStyle name="20% - Accent5 4 2 3 3" xfId="1418"/>
    <cellStyle name="20% - Accent5 4 2 3 3 2" xfId="10422"/>
    <cellStyle name="20% - Accent5 4 2 3 3 2 2" xfId="18238"/>
    <cellStyle name="20% - Accent5 4 2 3 3 3" xfId="14351"/>
    <cellStyle name="20% - Accent5 4 2 3 4" xfId="10419"/>
    <cellStyle name="20% - Accent5 4 2 3 4 2" xfId="18235"/>
    <cellStyle name="20% - Accent5 4 2 3 5" xfId="14348"/>
    <cellStyle name="20% - Accent5 4 2 4" xfId="1419"/>
    <cellStyle name="20% - Accent5 4 2 4 2" xfId="1420"/>
    <cellStyle name="20% - Accent5 4 2 4 2 2" xfId="10424"/>
    <cellStyle name="20% - Accent5 4 2 4 2 2 2" xfId="18240"/>
    <cellStyle name="20% - Accent5 4 2 4 2 3" xfId="14353"/>
    <cellStyle name="20% - Accent5 4 2 4 3" xfId="10423"/>
    <cellStyle name="20% - Accent5 4 2 4 3 2" xfId="18239"/>
    <cellStyle name="20% - Accent5 4 2 4 4" xfId="14352"/>
    <cellStyle name="20% - Accent5 4 2 5" xfId="1421"/>
    <cellStyle name="20% - Accent5 4 2 5 2" xfId="10425"/>
    <cellStyle name="20% - Accent5 4 2 5 2 2" xfId="18241"/>
    <cellStyle name="20% - Accent5 4 2 5 3" xfId="14354"/>
    <cellStyle name="20% - Accent5 4 2 6" xfId="10412"/>
    <cellStyle name="20% - Accent5 4 2 6 2" xfId="18228"/>
    <cellStyle name="20% - Accent5 4 2 7" xfId="14341"/>
    <cellStyle name="20% - Accent5 4 3" xfId="1422"/>
    <cellStyle name="20% - Accent5 4 3 2" xfId="1423"/>
    <cellStyle name="20% - Accent5 4 3 2 2" xfId="1424"/>
    <cellStyle name="20% - Accent5 4 3 2 2 2" xfId="1425"/>
    <cellStyle name="20% - Accent5 4 3 2 2 2 2" xfId="10429"/>
    <cellStyle name="20% - Accent5 4 3 2 2 2 2 2" xfId="18245"/>
    <cellStyle name="20% - Accent5 4 3 2 2 2 3" xfId="14358"/>
    <cellStyle name="20% - Accent5 4 3 2 2 3" xfId="10428"/>
    <cellStyle name="20% - Accent5 4 3 2 2 3 2" xfId="18244"/>
    <cellStyle name="20% - Accent5 4 3 2 2 4" xfId="14357"/>
    <cellStyle name="20% - Accent5 4 3 2 3" xfId="1426"/>
    <cellStyle name="20% - Accent5 4 3 2 3 2" xfId="10430"/>
    <cellStyle name="20% - Accent5 4 3 2 3 2 2" xfId="18246"/>
    <cellStyle name="20% - Accent5 4 3 2 3 3" xfId="14359"/>
    <cellStyle name="20% - Accent5 4 3 2 4" xfId="10427"/>
    <cellStyle name="20% - Accent5 4 3 2 4 2" xfId="18243"/>
    <cellStyle name="20% - Accent5 4 3 2 5" xfId="14356"/>
    <cellStyle name="20% - Accent5 4 3 3" xfId="1427"/>
    <cellStyle name="20% - Accent5 4 3 3 2" xfId="1428"/>
    <cellStyle name="20% - Accent5 4 3 3 2 2" xfId="10432"/>
    <cellStyle name="20% - Accent5 4 3 3 2 2 2" xfId="18248"/>
    <cellStyle name="20% - Accent5 4 3 3 2 3" xfId="14361"/>
    <cellStyle name="20% - Accent5 4 3 3 3" xfId="10431"/>
    <cellStyle name="20% - Accent5 4 3 3 3 2" xfId="18247"/>
    <cellStyle name="20% - Accent5 4 3 3 4" xfId="14360"/>
    <cellStyle name="20% - Accent5 4 3 4" xfId="1429"/>
    <cellStyle name="20% - Accent5 4 3 4 2" xfId="1430"/>
    <cellStyle name="20% - Accent5 4 3 4 2 2" xfId="10434"/>
    <cellStyle name="20% - Accent5 4 3 4 2 2 2" xfId="18250"/>
    <cellStyle name="20% - Accent5 4 3 4 2 3" xfId="14363"/>
    <cellStyle name="20% - Accent5 4 3 4 3" xfId="10433"/>
    <cellStyle name="20% - Accent5 4 3 4 3 2" xfId="18249"/>
    <cellStyle name="20% - Accent5 4 3 4 4" xfId="14362"/>
    <cellStyle name="20% - Accent5 4 3 5" xfId="1431"/>
    <cellStyle name="20% - Accent5 4 3 5 2" xfId="10435"/>
    <cellStyle name="20% - Accent5 4 3 5 2 2" xfId="18251"/>
    <cellStyle name="20% - Accent5 4 3 5 3" xfId="14364"/>
    <cellStyle name="20% - Accent5 4 3 6" xfId="10426"/>
    <cellStyle name="20% - Accent5 4 3 6 2" xfId="18242"/>
    <cellStyle name="20% - Accent5 4 3 7" xfId="14355"/>
    <cellStyle name="20% - Accent5 4 4" xfId="1432"/>
    <cellStyle name="20% - Accent5 4 4 2" xfId="1433"/>
    <cellStyle name="20% - Accent5 4 4 2 2" xfId="1434"/>
    <cellStyle name="20% - Accent5 4 4 2 2 2" xfId="10438"/>
    <cellStyle name="20% - Accent5 4 4 2 2 2 2" xfId="18254"/>
    <cellStyle name="20% - Accent5 4 4 2 2 3" xfId="14367"/>
    <cellStyle name="20% - Accent5 4 4 2 3" xfId="10437"/>
    <cellStyle name="20% - Accent5 4 4 2 3 2" xfId="18253"/>
    <cellStyle name="20% - Accent5 4 4 2 4" xfId="14366"/>
    <cellStyle name="20% - Accent5 4 4 3" xfId="1435"/>
    <cellStyle name="20% - Accent5 4 4 3 2" xfId="10439"/>
    <cellStyle name="20% - Accent5 4 4 3 2 2" xfId="18255"/>
    <cellStyle name="20% - Accent5 4 4 3 3" xfId="14368"/>
    <cellStyle name="20% - Accent5 4 4 4" xfId="10436"/>
    <cellStyle name="20% - Accent5 4 4 4 2" xfId="18252"/>
    <cellStyle name="20% - Accent5 4 4 5" xfId="14365"/>
    <cellStyle name="20% - Accent5 4 5" xfId="1436"/>
    <cellStyle name="20% - Accent5 4 5 2" xfId="1437"/>
    <cellStyle name="20% - Accent5 4 5 2 2" xfId="10441"/>
    <cellStyle name="20% - Accent5 4 5 2 2 2" xfId="18257"/>
    <cellStyle name="20% - Accent5 4 5 2 3" xfId="14370"/>
    <cellStyle name="20% - Accent5 4 5 3" xfId="10440"/>
    <cellStyle name="20% - Accent5 4 5 3 2" xfId="18256"/>
    <cellStyle name="20% - Accent5 4 5 4" xfId="14369"/>
    <cellStyle name="20% - Accent5 4 6" xfId="1438"/>
    <cellStyle name="20% - Accent5 4 6 2" xfId="10442"/>
    <cellStyle name="20% - Accent5 4 6 2 2" xfId="18258"/>
    <cellStyle name="20% - Accent5 4 6 3" xfId="14371"/>
    <cellStyle name="20% - Accent5 4 7" xfId="10411"/>
    <cellStyle name="20% - Accent5 4 7 2" xfId="18227"/>
    <cellStyle name="20% - Accent5 4 8" xfId="14340"/>
    <cellStyle name="20% - Accent5 5" xfId="1439"/>
    <cellStyle name="20% - Accent5 5 2" xfId="1440"/>
    <cellStyle name="20% - Accent5 5 2 2" xfId="1441"/>
    <cellStyle name="20% - Accent5 5 2 2 2" xfId="1442"/>
    <cellStyle name="20% - Accent5 5 2 2 2 2" xfId="10446"/>
    <cellStyle name="20% - Accent5 5 2 2 2 2 2" xfId="18262"/>
    <cellStyle name="20% - Accent5 5 2 2 2 3" xfId="14375"/>
    <cellStyle name="20% - Accent5 5 2 2 3" xfId="10445"/>
    <cellStyle name="20% - Accent5 5 2 2 3 2" xfId="18261"/>
    <cellStyle name="20% - Accent5 5 2 2 4" xfId="14374"/>
    <cellStyle name="20% - Accent5 5 2 3" xfId="1443"/>
    <cellStyle name="20% - Accent5 5 2 3 2" xfId="1444"/>
    <cellStyle name="20% - Accent5 5 2 3 2 2" xfId="10448"/>
    <cellStyle name="20% - Accent5 5 2 3 2 2 2" xfId="18264"/>
    <cellStyle name="20% - Accent5 5 2 3 2 3" xfId="14377"/>
    <cellStyle name="20% - Accent5 5 2 3 3" xfId="10447"/>
    <cellStyle name="20% - Accent5 5 2 3 3 2" xfId="18263"/>
    <cellStyle name="20% - Accent5 5 2 3 4" xfId="14376"/>
    <cellStyle name="20% - Accent5 5 2 4" xfId="1445"/>
    <cellStyle name="20% - Accent5 5 2 4 2" xfId="10449"/>
    <cellStyle name="20% - Accent5 5 2 4 2 2" xfId="18265"/>
    <cellStyle name="20% - Accent5 5 2 4 3" xfId="14378"/>
    <cellStyle name="20% - Accent5 5 2 5" xfId="10444"/>
    <cellStyle name="20% - Accent5 5 2 5 2" xfId="18260"/>
    <cellStyle name="20% - Accent5 5 2 6" xfId="14373"/>
    <cellStyle name="20% - Accent5 5 3" xfId="1446"/>
    <cellStyle name="20% - Accent5 5 3 2" xfId="1447"/>
    <cellStyle name="20% - Accent5 5 3 2 2" xfId="1448"/>
    <cellStyle name="20% - Accent5 5 3 2 2 2" xfId="10452"/>
    <cellStyle name="20% - Accent5 5 3 2 2 2 2" xfId="18268"/>
    <cellStyle name="20% - Accent5 5 3 2 2 3" xfId="14381"/>
    <cellStyle name="20% - Accent5 5 3 2 3" xfId="10451"/>
    <cellStyle name="20% - Accent5 5 3 2 3 2" xfId="18267"/>
    <cellStyle name="20% - Accent5 5 3 2 4" xfId="14380"/>
    <cellStyle name="20% - Accent5 5 3 3" xfId="1449"/>
    <cellStyle name="20% - Accent5 5 3 3 2" xfId="10453"/>
    <cellStyle name="20% - Accent5 5 3 3 2 2" xfId="18269"/>
    <cellStyle name="20% - Accent5 5 3 3 3" xfId="14382"/>
    <cellStyle name="20% - Accent5 5 3 4" xfId="10450"/>
    <cellStyle name="20% - Accent5 5 3 4 2" xfId="18266"/>
    <cellStyle name="20% - Accent5 5 3 5" xfId="14379"/>
    <cellStyle name="20% - Accent5 5 4" xfId="1450"/>
    <cellStyle name="20% - Accent5 5 4 2" xfId="1451"/>
    <cellStyle name="20% - Accent5 5 4 2 2" xfId="10455"/>
    <cellStyle name="20% - Accent5 5 4 2 2 2" xfId="18271"/>
    <cellStyle name="20% - Accent5 5 4 2 3" xfId="14384"/>
    <cellStyle name="20% - Accent5 5 4 3" xfId="10454"/>
    <cellStyle name="20% - Accent5 5 4 3 2" xfId="18270"/>
    <cellStyle name="20% - Accent5 5 4 4" xfId="14383"/>
    <cellStyle name="20% - Accent5 5 5" xfId="1452"/>
    <cellStyle name="20% - Accent5 5 5 2" xfId="10456"/>
    <cellStyle name="20% - Accent5 5 5 2 2" xfId="18272"/>
    <cellStyle name="20% - Accent5 5 5 3" xfId="14385"/>
    <cellStyle name="20% - Accent5 5 6" xfId="10443"/>
    <cellStyle name="20% - Accent5 5 6 2" xfId="18259"/>
    <cellStyle name="20% - Accent5 5 7" xfId="14372"/>
    <cellStyle name="20% - Accent5 6" xfId="1453"/>
    <cellStyle name="20% - Accent5 6 2" xfId="1454"/>
    <cellStyle name="20% - Accent5 6 2 2" xfId="1455"/>
    <cellStyle name="20% - Accent5 6 2 2 2" xfId="1456"/>
    <cellStyle name="20% - Accent5 6 2 2 2 2" xfId="10460"/>
    <cellStyle name="20% - Accent5 6 2 2 2 2 2" xfId="18276"/>
    <cellStyle name="20% - Accent5 6 2 2 2 3" xfId="14389"/>
    <cellStyle name="20% - Accent5 6 2 2 3" xfId="10459"/>
    <cellStyle name="20% - Accent5 6 2 2 3 2" xfId="18275"/>
    <cellStyle name="20% - Accent5 6 2 2 4" xfId="14388"/>
    <cellStyle name="20% - Accent5 6 2 3" xfId="1457"/>
    <cellStyle name="20% - Accent5 6 2 3 2" xfId="10461"/>
    <cellStyle name="20% - Accent5 6 2 3 2 2" xfId="18277"/>
    <cellStyle name="20% - Accent5 6 2 3 3" xfId="14390"/>
    <cellStyle name="20% - Accent5 6 2 4" xfId="10458"/>
    <cellStyle name="20% - Accent5 6 2 4 2" xfId="18274"/>
    <cellStyle name="20% - Accent5 6 2 5" xfId="14387"/>
    <cellStyle name="20% - Accent5 6 3" xfId="1458"/>
    <cellStyle name="20% - Accent5 6 3 2" xfId="1459"/>
    <cellStyle name="20% - Accent5 6 3 2 2" xfId="10463"/>
    <cellStyle name="20% - Accent5 6 3 2 2 2" xfId="18279"/>
    <cellStyle name="20% - Accent5 6 3 2 3" xfId="14392"/>
    <cellStyle name="20% - Accent5 6 3 3" xfId="10462"/>
    <cellStyle name="20% - Accent5 6 3 3 2" xfId="18278"/>
    <cellStyle name="20% - Accent5 6 3 4" xfId="14391"/>
    <cellStyle name="20% - Accent5 6 4" xfId="1460"/>
    <cellStyle name="20% - Accent5 6 4 2" xfId="10464"/>
    <cellStyle name="20% - Accent5 6 4 2 2" xfId="18280"/>
    <cellStyle name="20% - Accent5 6 4 3" xfId="14393"/>
    <cellStyle name="20% - Accent5 6 5" xfId="10457"/>
    <cellStyle name="20% - Accent5 6 5 2" xfId="18273"/>
    <cellStyle name="20% - Accent5 6 6" xfId="14386"/>
    <cellStyle name="20% - Accent5 7" xfId="1461"/>
    <cellStyle name="20% - Accent5 7 2" xfId="1462"/>
    <cellStyle name="20% - Accent5 7 2 2" xfId="1463"/>
    <cellStyle name="20% - Accent5 7 2 2 2" xfId="1464"/>
    <cellStyle name="20% - Accent5 7 2 2 2 2" xfId="10468"/>
    <cellStyle name="20% - Accent5 7 2 2 2 2 2" xfId="18284"/>
    <cellStyle name="20% - Accent5 7 2 2 2 3" xfId="14397"/>
    <cellStyle name="20% - Accent5 7 2 2 3" xfId="10467"/>
    <cellStyle name="20% - Accent5 7 2 2 3 2" xfId="18283"/>
    <cellStyle name="20% - Accent5 7 2 2 4" xfId="14396"/>
    <cellStyle name="20% - Accent5 7 2 3" xfId="1465"/>
    <cellStyle name="20% - Accent5 7 2 3 2" xfId="10469"/>
    <cellStyle name="20% - Accent5 7 2 3 2 2" xfId="18285"/>
    <cellStyle name="20% - Accent5 7 2 3 3" xfId="14398"/>
    <cellStyle name="20% - Accent5 7 2 4" xfId="10466"/>
    <cellStyle name="20% - Accent5 7 2 4 2" xfId="18282"/>
    <cellStyle name="20% - Accent5 7 2 5" xfId="14395"/>
    <cellStyle name="20% - Accent5 7 3" xfId="1466"/>
    <cellStyle name="20% - Accent5 7 3 2" xfId="1467"/>
    <cellStyle name="20% - Accent5 7 3 2 2" xfId="10471"/>
    <cellStyle name="20% - Accent5 7 3 2 2 2" xfId="18287"/>
    <cellStyle name="20% - Accent5 7 3 2 3" xfId="14400"/>
    <cellStyle name="20% - Accent5 7 3 3" xfId="10470"/>
    <cellStyle name="20% - Accent5 7 3 3 2" xfId="18286"/>
    <cellStyle name="20% - Accent5 7 3 4" xfId="14399"/>
    <cellStyle name="20% - Accent5 7 4" xfId="1468"/>
    <cellStyle name="20% - Accent5 7 4 2" xfId="10472"/>
    <cellStyle name="20% - Accent5 7 4 2 2" xfId="18288"/>
    <cellStyle name="20% - Accent5 7 4 3" xfId="14401"/>
    <cellStyle name="20% - Accent5 7 5" xfId="10465"/>
    <cellStyle name="20% - Accent5 7 5 2" xfId="18281"/>
    <cellStyle name="20% - Accent5 7 6" xfId="14394"/>
    <cellStyle name="20% - Accent5 8" xfId="1469"/>
    <cellStyle name="20% - Accent5 8 2" xfId="1470"/>
    <cellStyle name="20% - Accent5 8 2 2" xfId="1471"/>
    <cellStyle name="20% - Accent5 8 2 2 2" xfId="10475"/>
    <cellStyle name="20% - Accent5 8 2 2 2 2" xfId="18291"/>
    <cellStyle name="20% - Accent5 8 2 2 3" xfId="14404"/>
    <cellStyle name="20% - Accent5 8 2 3" xfId="10474"/>
    <cellStyle name="20% - Accent5 8 2 3 2" xfId="18290"/>
    <cellStyle name="20% - Accent5 8 2 4" xfId="14403"/>
    <cellStyle name="20% - Accent5 8 3" xfId="1472"/>
    <cellStyle name="20% - Accent5 8 3 2" xfId="10476"/>
    <cellStyle name="20% - Accent5 8 3 2 2" xfId="18292"/>
    <cellStyle name="20% - Accent5 8 3 3" xfId="14405"/>
    <cellStyle name="20% - Accent5 8 4" xfId="10473"/>
    <cellStyle name="20% - Accent5 8 4 2" xfId="18289"/>
    <cellStyle name="20% - Accent5 8 5" xfId="14402"/>
    <cellStyle name="20% - Accent5 9" xfId="1473"/>
    <cellStyle name="20% - Accent5 9 2" xfId="1474"/>
    <cellStyle name="20% - Accent5 9 2 2" xfId="10478"/>
    <cellStyle name="20% - Accent5 9 2 2 2" xfId="18294"/>
    <cellStyle name="20% - Accent5 9 2 3" xfId="14407"/>
    <cellStyle name="20% - Accent5 9 3" xfId="10477"/>
    <cellStyle name="20% - Accent5 9 3 2" xfId="18293"/>
    <cellStyle name="20% - Accent5 9 4" xfId="14406"/>
    <cellStyle name="20% - Accent6 10" xfId="1475"/>
    <cellStyle name="20% - Accent6 10 2" xfId="1476"/>
    <cellStyle name="20% - Accent6 10 2 2" xfId="10480"/>
    <cellStyle name="20% - Accent6 10 2 2 2" xfId="18296"/>
    <cellStyle name="20% - Accent6 10 2 3" xfId="14409"/>
    <cellStyle name="20% - Accent6 10 3" xfId="10479"/>
    <cellStyle name="20% - Accent6 10 3 2" xfId="18295"/>
    <cellStyle name="20% - Accent6 10 4" xfId="14408"/>
    <cellStyle name="20% - Accent6 11" xfId="1477"/>
    <cellStyle name="20% - Accent6 11 2" xfId="10481"/>
    <cellStyle name="20% - Accent6 11 2 2" xfId="18297"/>
    <cellStyle name="20% - Accent6 11 3" xfId="14410"/>
    <cellStyle name="20% - Accent6 12" xfId="1478"/>
    <cellStyle name="20% - Accent6 12 2" xfId="10482"/>
    <cellStyle name="20% - Accent6 12 2 2" xfId="18298"/>
    <cellStyle name="20% - Accent6 12 3" xfId="14411"/>
    <cellStyle name="20% - Accent6 2" xfId="1479"/>
    <cellStyle name="20% - Accent6 2 10" xfId="1480"/>
    <cellStyle name="20% - Accent6 2 10 2" xfId="10484"/>
    <cellStyle name="20% - Accent6 2 10 2 2" xfId="18300"/>
    <cellStyle name="20% - Accent6 2 10 3" xfId="14413"/>
    <cellStyle name="20% - Accent6 2 11" xfId="10483"/>
    <cellStyle name="20% - Accent6 2 11 2" xfId="18299"/>
    <cellStyle name="20% - Accent6 2 12" xfId="12955"/>
    <cellStyle name="20% - Accent6 2 13" xfId="14412"/>
    <cellStyle name="20% - Accent6 2 2" xfId="1481"/>
    <cellStyle name="20% - Accent6 2 2 10" xfId="14414"/>
    <cellStyle name="20% - Accent6 2 2 2" xfId="1482"/>
    <cellStyle name="20% - Accent6 2 2 2 2" xfId="1483"/>
    <cellStyle name="20% - Accent6 2 2 2 2 2" xfId="1484"/>
    <cellStyle name="20% - Accent6 2 2 2 2 2 2" xfId="1485"/>
    <cellStyle name="20% - Accent6 2 2 2 2 2 2 2" xfId="1486"/>
    <cellStyle name="20% - Accent6 2 2 2 2 2 2 2 2" xfId="10490"/>
    <cellStyle name="20% - Accent6 2 2 2 2 2 2 2 2 2" xfId="18306"/>
    <cellStyle name="20% - Accent6 2 2 2 2 2 2 2 3" xfId="14419"/>
    <cellStyle name="20% - Accent6 2 2 2 2 2 2 3" xfId="10489"/>
    <cellStyle name="20% - Accent6 2 2 2 2 2 2 3 2" xfId="18305"/>
    <cellStyle name="20% - Accent6 2 2 2 2 2 2 4" xfId="14418"/>
    <cellStyle name="20% - Accent6 2 2 2 2 2 3" xfId="1487"/>
    <cellStyle name="20% - Accent6 2 2 2 2 2 3 2" xfId="1488"/>
    <cellStyle name="20% - Accent6 2 2 2 2 2 3 2 2" xfId="10492"/>
    <cellStyle name="20% - Accent6 2 2 2 2 2 3 2 2 2" xfId="18308"/>
    <cellStyle name="20% - Accent6 2 2 2 2 2 3 2 3" xfId="14421"/>
    <cellStyle name="20% - Accent6 2 2 2 2 2 3 3" xfId="10491"/>
    <cellStyle name="20% - Accent6 2 2 2 2 2 3 3 2" xfId="18307"/>
    <cellStyle name="20% - Accent6 2 2 2 2 2 3 4" xfId="14420"/>
    <cellStyle name="20% - Accent6 2 2 2 2 2 4" xfId="1489"/>
    <cellStyle name="20% - Accent6 2 2 2 2 2 4 2" xfId="10493"/>
    <cellStyle name="20% - Accent6 2 2 2 2 2 4 2 2" xfId="18309"/>
    <cellStyle name="20% - Accent6 2 2 2 2 2 4 3" xfId="14422"/>
    <cellStyle name="20% - Accent6 2 2 2 2 2 5" xfId="10488"/>
    <cellStyle name="20% - Accent6 2 2 2 2 2 5 2" xfId="18304"/>
    <cellStyle name="20% - Accent6 2 2 2 2 2 6" xfId="14417"/>
    <cellStyle name="20% - Accent6 2 2 2 2 3" xfId="1490"/>
    <cellStyle name="20% - Accent6 2 2 2 2 3 2" xfId="1491"/>
    <cellStyle name="20% - Accent6 2 2 2 2 3 2 2" xfId="1492"/>
    <cellStyle name="20% - Accent6 2 2 2 2 3 2 2 2" xfId="10496"/>
    <cellStyle name="20% - Accent6 2 2 2 2 3 2 2 2 2" xfId="18312"/>
    <cellStyle name="20% - Accent6 2 2 2 2 3 2 2 3" xfId="14425"/>
    <cellStyle name="20% - Accent6 2 2 2 2 3 2 3" xfId="10495"/>
    <cellStyle name="20% - Accent6 2 2 2 2 3 2 3 2" xfId="18311"/>
    <cellStyle name="20% - Accent6 2 2 2 2 3 2 4" xfId="14424"/>
    <cellStyle name="20% - Accent6 2 2 2 2 3 3" xfId="1493"/>
    <cellStyle name="20% - Accent6 2 2 2 2 3 3 2" xfId="10497"/>
    <cellStyle name="20% - Accent6 2 2 2 2 3 3 2 2" xfId="18313"/>
    <cellStyle name="20% - Accent6 2 2 2 2 3 3 3" xfId="14426"/>
    <cellStyle name="20% - Accent6 2 2 2 2 3 4" xfId="10494"/>
    <cellStyle name="20% - Accent6 2 2 2 2 3 4 2" xfId="18310"/>
    <cellStyle name="20% - Accent6 2 2 2 2 3 5" xfId="14423"/>
    <cellStyle name="20% - Accent6 2 2 2 2 4" xfId="1494"/>
    <cellStyle name="20% - Accent6 2 2 2 2 4 2" xfId="1495"/>
    <cellStyle name="20% - Accent6 2 2 2 2 4 2 2" xfId="10499"/>
    <cellStyle name="20% - Accent6 2 2 2 2 4 2 2 2" xfId="18315"/>
    <cellStyle name="20% - Accent6 2 2 2 2 4 2 3" xfId="14428"/>
    <cellStyle name="20% - Accent6 2 2 2 2 4 3" xfId="10498"/>
    <cellStyle name="20% - Accent6 2 2 2 2 4 3 2" xfId="18314"/>
    <cellStyle name="20% - Accent6 2 2 2 2 4 4" xfId="14427"/>
    <cellStyle name="20% - Accent6 2 2 2 2 5" xfId="1496"/>
    <cellStyle name="20% - Accent6 2 2 2 2 5 2" xfId="10500"/>
    <cellStyle name="20% - Accent6 2 2 2 2 5 2 2" xfId="18316"/>
    <cellStyle name="20% - Accent6 2 2 2 2 5 3" xfId="14429"/>
    <cellStyle name="20% - Accent6 2 2 2 2 6" xfId="10487"/>
    <cellStyle name="20% - Accent6 2 2 2 2 6 2" xfId="18303"/>
    <cellStyle name="20% - Accent6 2 2 2 2 7" xfId="14416"/>
    <cellStyle name="20% - Accent6 2 2 2 3" xfId="1497"/>
    <cellStyle name="20% - Accent6 2 2 2 3 2" xfId="1498"/>
    <cellStyle name="20% - Accent6 2 2 2 3 2 2" xfId="1499"/>
    <cellStyle name="20% - Accent6 2 2 2 3 2 2 2" xfId="1500"/>
    <cellStyle name="20% - Accent6 2 2 2 3 2 2 2 2" xfId="10504"/>
    <cellStyle name="20% - Accent6 2 2 2 3 2 2 2 2 2" xfId="18320"/>
    <cellStyle name="20% - Accent6 2 2 2 3 2 2 2 3" xfId="14433"/>
    <cellStyle name="20% - Accent6 2 2 2 3 2 2 3" xfId="10503"/>
    <cellStyle name="20% - Accent6 2 2 2 3 2 2 3 2" xfId="18319"/>
    <cellStyle name="20% - Accent6 2 2 2 3 2 2 4" xfId="14432"/>
    <cellStyle name="20% - Accent6 2 2 2 3 2 3" xfId="1501"/>
    <cellStyle name="20% - Accent6 2 2 2 3 2 3 2" xfId="10505"/>
    <cellStyle name="20% - Accent6 2 2 2 3 2 3 2 2" xfId="18321"/>
    <cellStyle name="20% - Accent6 2 2 2 3 2 3 3" xfId="14434"/>
    <cellStyle name="20% - Accent6 2 2 2 3 2 4" xfId="10502"/>
    <cellStyle name="20% - Accent6 2 2 2 3 2 4 2" xfId="18318"/>
    <cellStyle name="20% - Accent6 2 2 2 3 2 5" xfId="14431"/>
    <cellStyle name="20% - Accent6 2 2 2 3 3" xfId="1502"/>
    <cellStyle name="20% - Accent6 2 2 2 3 3 2" xfId="1503"/>
    <cellStyle name="20% - Accent6 2 2 2 3 3 2 2" xfId="10507"/>
    <cellStyle name="20% - Accent6 2 2 2 3 3 2 2 2" xfId="18323"/>
    <cellStyle name="20% - Accent6 2 2 2 3 3 2 3" xfId="14436"/>
    <cellStyle name="20% - Accent6 2 2 2 3 3 3" xfId="10506"/>
    <cellStyle name="20% - Accent6 2 2 2 3 3 3 2" xfId="18322"/>
    <cellStyle name="20% - Accent6 2 2 2 3 3 4" xfId="14435"/>
    <cellStyle name="20% - Accent6 2 2 2 3 4" xfId="1504"/>
    <cellStyle name="20% - Accent6 2 2 2 3 4 2" xfId="1505"/>
    <cellStyle name="20% - Accent6 2 2 2 3 4 2 2" xfId="10509"/>
    <cellStyle name="20% - Accent6 2 2 2 3 4 2 2 2" xfId="18325"/>
    <cellStyle name="20% - Accent6 2 2 2 3 4 2 3" xfId="14438"/>
    <cellStyle name="20% - Accent6 2 2 2 3 4 3" xfId="10508"/>
    <cellStyle name="20% - Accent6 2 2 2 3 4 3 2" xfId="18324"/>
    <cellStyle name="20% - Accent6 2 2 2 3 4 4" xfId="14437"/>
    <cellStyle name="20% - Accent6 2 2 2 3 5" xfId="1506"/>
    <cellStyle name="20% - Accent6 2 2 2 3 5 2" xfId="10510"/>
    <cellStyle name="20% - Accent6 2 2 2 3 5 2 2" xfId="18326"/>
    <cellStyle name="20% - Accent6 2 2 2 3 5 3" xfId="14439"/>
    <cellStyle name="20% - Accent6 2 2 2 3 6" xfId="10501"/>
    <cellStyle name="20% - Accent6 2 2 2 3 6 2" xfId="18317"/>
    <cellStyle name="20% - Accent6 2 2 2 3 7" xfId="14430"/>
    <cellStyle name="20% - Accent6 2 2 2 4" xfId="1507"/>
    <cellStyle name="20% - Accent6 2 2 2 4 2" xfId="1508"/>
    <cellStyle name="20% - Accent6 2 2 2 4 2 2" xfId="1509"/>
    <cellStyle name="20% - Accent6 2 2 2 4 2 2 2" xfId="10513"/>
    <cellStyle name="20% - Accent6 2 2 2 4 2 2 2 2" xfId="18329"/>
    <cellStyle name="20% - Accent6 2 2 2 4 2 2 3" xfId="14442"/>
    <cellStyle name="20% - Accent6 2 2 2 4 2 3" xfId="10512"/>
    <cellStyle name="20% - Accent6 2 2 2 4 2 3 2" xfId="18328"/>
    <cellStyle name="20% - Accent6 2 2 2 4 2 4" xfId="14441"/>
    <cellStyle name="20% - Accent6 2 2 2 4 3" xfId="1510"/>
    <cellStyle name="20% - Accent6 2 2 2 4 3 2" xfId="10514"/>
    <cellStyle name="20% - Accent6 2 2 2 4 3 2 2" xfId="18330"/>
    <cellStyle name="20% - Accent6 2 2 2 4 3 3" xfId="14443"/>
    <cellStyle name="20% - Accent6 2 2 2 4 4" xfId="10511"/>
    <cellStyle name="20% - Accent6 2 2 2 4 4 2" xfId="18327"/>
    <cellStyle name="20% - Accent6 2 2 2 4 5" xfId="14440"/>
    <cellStyle name="20% - Accent6 2 2 2 5" xfId="1511"/>
    <cellStyle name="20% - Accent6 2 2 2 5 2" xfId="1512"/>
    <cellStyle name="20% - Accent6 2 2 2 5 2 2" xfId="10516"/>
    <cellStyle name="20% - Accent6 2 2 2 5 2 2 2" xfId="18332"/>
    <cellStyle name="20% - Accent6 2 2 2 5 2 3" xfId="14445"/>
    <cellStyle name="20% - Accent6 2 2 2 5 3" xfId="10515"/>
    <cellStyle name="20% - Accent6 2 2 2 5 3 2" xfId="18331"/>
    <cellStyle name="20% - Accent6 2 2 2 5 4" xfId="14444"/>
    <cellStyle name="20% - Accent6 2 2 2 6" xfId="1513"/>
    <cellStyle name="20% - Accent6 2 2 2 6 2" xfId="10517"/>
    <cellStyle name="20% - Accent6 2 2 2 6 2 2" xfId="18333"/>
    <cellStyle name="20% - Accent6 2 2 2 6 3" xfId="14446"/>
    <cellStyle name="20% - Accent6 2 2 2 7" xfId="10486"/>
    <cellStyle name="20% - Accent6 2 2 2 7 2" xfId="18302"/>
    <cellStyle name="20% - Accent6 2 2 2 8" xfId="14415"/>
    <cellStyle name="20% - Accent6 2 2 3" xfId="1514"/>
    <cellStyle name="20% - Accent6 2 2 3 2" xfId="1515"/>
    <cellStyle name="20% - Accent6 2 2 3 2 2" xfId="1516"/>
    <cellStyle name="20% - Accent6 2 2 3 2 2 2" xfId="1517"/>
    <cellStyle name="20% - Accent6 2 2 3 2 2 2 2" xfId="10521"/>
    <cellStyle name="20% - Accent6 2 2 3 2 2 2 2 2" xfId="18337"/>
    <cellStyle name="20% - Accent6 2 2 3 2 2 2 3" xfId="14450"/>
    <cellStyle name="20% - Accent6 2 2 3 2 2 3" xfId="10520"/>
    <cellStyle name="20% - Accent6 2 2 3 2 2 3 2" xfId="18336"/>
    <cellStyle name="20% - Accent6 2 2 3 2 2 4" xfId="14449"/>
    <cellStyle name="20% - Accent6 2 2 3 2 3" xfId="1518"/>
    <cellStyle name="20% - Accent6 2 2 3 2 3 2" xfId="1519"/>
    <cellStyle name="20% - Accent6 2 2 3 2 3 2 2" xfId="10523"/>
    <cellStyle name="20% - Accent6 2 2 3 2 3 2 2 2" xfId="18339"/>
    <cellStyle name="20% - Accent6 2 2 3 2 3 2 3" xfId="14452"/>
    <cellStyle name="20% - Accent6 2 2 3 2 3 3" xfId="10522"/>
    <cellStyle name="20% - Accent6 2 2 3 2 3 3 2" xfId="18338"/>
    <cellStyle name="20% - Accent6 2 2 3 2 3 4" xfId="14451"/>
    <cellStyle name="20% - Accent6 2 2 3 2 4" xfId="1520"/>
    <cellStyle name="20% - Accent6 2 2 3 2 4 2" xfId="10524"/>
    <cellStyle name="20% - Accent6 2 2 3 2 4 2 2" xfId="18340"/>
    <cellStyle name="20% - Accent6 2 2 3 2 4 3" xfId="14453"/>
    <cellStyle name="20% - Accent6 2 2 3 2 5" xfId="10519"/>
    <cellStyle name="20% - Accent6 2 2 3 2 5 2" xfId="18335"/>
    <cellStyle name="20% - Accent6 2 2 3 2 6" xfId="14448"/>
    <cellStyle name="20% - Accent6 2 2 3 3" xfId="1521"/>
    <cellStyle name="20% - Accent6 2 2 3 3 2" xfId="1522"/>
    <cellStyle name="20% - Accent6 2 2 3 3 2 2" xfId="1523"/>
    <cellStyle name="20% - Accent6 2 2 3 3 2 2 2" xfId="10527"/>
    <cellStyle name="20% - Accent6 2 2 3 3 2 2 2 2" xfId="18343"/>
    <cellStyle name="20% - Accent6 2 2 3 3 2 2 3" xfId="14456"/>
    <cellStyle name="20% - Accent6 2 2 3 3 2 3" xfId="10526"/>
    <cellStyle name="20% - Accent6 2 2 3 3 2 3 2" xfId="18342"/>
    <cellStyle name="20% - Accent6 2 2 3 3 2 4" xfId="14455"/>
    <cellStyle name="20% - Accent6 2 2 3 3 3" xfId="1524"/>
    <cellStyle name="20% - Accent6 2 2 3 3 3 2" xfId="10528"/>
    <cellStyle name="20% - Accent6 2 2 3 3 3 2 2" xfId="18344"/>
    <cellStyle name="20% - Accent6 2 2 3 3 3 3" xfId="14457"/>
    <cellStyle name="20% - Accent6 2 2 3 3 4" xfId="10525"/>
    <cellStyle name="20% - Accent6 2 2 3 3 4 2" xfId="18341"/>
    <cellStyle name="20% - Accent6 2 2 3 3 5" xfId="14454"/>
    <cellStyle name="20% - Accent6 2 2 3 4" xfId="1525"/>
    <cellStyle name="20% - Accent6 2 2 3 4 2" xfId="1526"/>
    <cellStyle name="20% - Accent6 2 2 3 4 2 2" xfId="10530"/>
    <cellStyle name="20% - Accent6 2 2 3 4 2 2 2" xfId="18346"/>
    <cellStyle name="20% - Accent6 2 2 3 4 2 3" xfId="14459"/>
    <cellStyle name="20% - Accent6 2 2 3 4 3" xfId="10529"/>
    <cellStyle name="20% - Accent6 2 2 3 4 3 2" xfId="18345"/>
    <cellStyle name="20% - Accent6 2 2 3 4 4" xfId="14458"/>
    <cellStyle name="20% - Accent6 2 2 3 5" xfId="1527"/>
    <cellStyle name="20% - Accent6 2 2 3 5 2" xfId="10531"/>
    <cellStyle name="20% - Accent6 2 2 3 5 2 2" xfId="18347"/>
    <cellStyle name="20% - Accent6 2 2 3 5 3" xfId="14460"/>
    <cellStyle name="20% - Accent6 2 2 3 6" xfId="10518"/>
    <cellStyle name="20% - Accent6 2 2 3 6 2" xfId="18334"/>
    <cellStyle name="20% - Accent6 2 2 3 7" xfId="14447"/>
    <cellStyle name="20% - Accent6 2 2 4" xfId="1528"/>
    <cellStyle name="20% - Accent6 2 2 4 2" xfId="1529"/>
    <cellStyle name="20% - Accent6 2 2 4 2 2" xfId="1530"/>
    <cellStyle name="20% - Accent6 2 2 4 2 2 2" xfId="1531"/>
    <cellStyle name="20% - Accent6 2 2 4 2 2 2 2" xfId="10535"/>
    <cellStyle name="20% - Accent6 2 2 4 2 2 2 2 2" xfId="18351"/>
    <cellStyle name="20% - Accent6 2 2 4 2 2 2 3" xfId="14464"/>
    <cellStyle name="20% - Accent6 2 2 4 2 2 3" xfId="10534"/>
    <cellStyle name="20% - Accent6 2 2 4 2 2 3 2" xfId="18350"/>
    <cellStyle name="20% - Accent6 2 2 4 2 2 4" xfId="14463"/>
    <cellStyle name="20% - Accent6 2 2 4 2 3" xfId="1532"/>
    <cellStyle name="20% - Accent6 2 2 4 2 3 2" xfId="10536"/>
    <cellStyle name="20% - Accent6 2 2 4 2 3 2 2" xfId="18352"/>
    <cellStyle name="20% - Accent6 2 2 4 2 3 3" xfId="14465"/>
    <cellStyle name="20% - Accent6 2 2 4 2 4" xfId="10533"/>
    <cellStyle name="20% - Accent6 2 2 4 2 4 2" xfId="18349"/>
    <cellStyle name="20% - Accent6 2 2 4 2 5" xfId="14462"/>
    <cellStyle name="20% - Accent6 2 2 4 3" xfId="1533"/>
    <cellStyle name="20% - Accent6 2 2 4 3 2" xfId="1534"/>
    <cellStyle name="20% - Accent6 2 2 4 3 2 2" xfId="10538"/>
    <cellStyle name="20% - Accent6 2 2 4 3 2 2 2" xfId="18354"/>
    <cellStyle name="20% - Accent6 2 2 4 3 2 3" xfId="14467"/>
    <cellStyle name="20% - Accent6 2 2 4 3 3" xfId="10537"/>
    <cellStyle name="20% - Accent6 2 2 4 3 3 2" xfId="18353"/>
    <cellStyle name="20% - Accent6 2 2 4 3 4" xfId="14466"/>
    <cellStyle name="20% - Accent6 2 2 4 4" xfId="1535"/>
    <cellStyle name="20% - Accent6 2 2 4 4 2" xfId="10539"/>
    <cellStyle name="20% - Accent6 2 2 4 4 2 2" xfId="18355"/>
    <cellStyle name="20% - Accent6 2 2 4 4 3" xfId="14468"/>
    <cellStyle name="20% - Accent6 2 2 4 5" xfId="10532"/>
    <cellStyle name="20% - Accent6 2 2 4 5 2" xfId="18348"/>
    <cellStyle name="20% - Accent6 2 2 4 6" xfId="14461"/>
    <cellStyle name="20% - Accent6 2 2 5" xfId="1536"/>
    <cellStyle name="20% - Accent6 2 2 5 2" xfId="1537"/>
    <cellStyle name="20% - Accent6 2 2 5 2 2" xfId="1538"/>
    <cellStyle name="20% - Accent6 2 2 5 2 2 2" xfId="1539"/>
    <cellStyle name="20% - Accent6 2 2 5 2 2 2 2" xfId="10543"/>
    <cellStyle name="20% - Accent6 2 2 5 2 2 2 2 2" xfId="18359"/>
    <cellStyle name="20% - Accent6 2 2 5 2 2 2 3" xfId="14472"/>
    <cellStyle name="20% - Accent6 2 2 5 2 2 3" xfId="10542"/>
    <cellStyle name="20% - Accent6 2 2 5 2 2 3 2" xfId="18358"/>
    <cellStyle name="20% - Accent6 2 2 5 2 2 4" xfId="14471"/>
    <cellStyle name="20% - Accent6 2 2 5 2 3" xfId="1540"/>
    <cellStyle name="20% - Accent6 2 2 5 2 3 2" xfId="10544"/>
    <cellStyle name="20% - Accent6 2 2 5 2 3 2 2" xfId="18360"/>
    <cellStyle name="20% - Accent6 2 2 5 2 3 3" xfId="14473"/>
    <cellStyle name="20% - Accent6 2 2 5 2 4" xfId="10541"/>
    <cellStyle name="20% - Accent6 2 2 5 2 4 2" xfId="18357"/>
    <cellStyle name="20% - Accent6 2 2 5 2 5" xfId="14470"/>
    <cellStyle name="20% - Accent6 2 2 5 3" xfId="1541"/>
    <cellStyle name="20% - Accent6 2 2 5 3 2" xfId="1542"/>
    <cellStyle name="20% - Accent6 2 2 5 3 2 2" xfId="10546"/>
    <cellStyle name="20% - Accent6 2 2 5 3 2 2 2" xfId="18362"/>
    <cellStyle name="20% - Accent6 2 2 5 3 2 3" xfId="14475"/>
    <cellStyle name="20% - Accent6 2 2 5 3 3" xfId="10545"/>
    <cellStyle name="20% - Accent6 2 2 5 3 3 2" xfId="18361"/>
    <cellStyle name="20% - Accent6 2 2 5 3 4" xfId="14474"/>
    <cellStyle name="20% - Accent6 2 2 5 4" xfId="1543"/>
    <cellStyle name="20% - Accent6 2 2 5 4 2" xfId="1544"/>
    <cellStyle name="20% - Accent6 2 2 5 4 2 2" xfId="10548"/>
    <cellStyle name="20% - Accent6 2 2 5 4 2 2 2" xfId="18364"/>
    <cellStyle name="20% - Accent6 2 2 5 4 2 3" xfId="14477"/>
    <cellStyle name="20% - Accent6 2 2 5 4 3" xfId="10547"/>
    <cellStyle name="20% - Accent6 2 2 5 4 3 2" xfId="18363"/>
    <cellStyle name="20% - Accent6 2 2 5 4 4" xfId="14476"/>
    <cellStyle name="20% - Accent6 2 2 5 5" xfId="1545"/>
    <cellStyle name="20% - Accent6 2 2 5 5 2" xfId="10549"/>
    <cellStyle name="20% - Accent6 2 2 5 5 2 2" xfId="18365"/>
    <cellStyle name="20% - Accent6 2 2 5 5 3" xfId="14478"/>
    <cellStyle name="20% - Accent6 2 2 5 6" xfId="10540"/>
    <cellStyle name="20% - Accent6 2 2 5 6 2" xfId="18356"/>
    <cellStyle name="20% - Accent6 2 2 5 7" xfId="14469"/>
    <cellStyle name="20% - Accent6 2 2 6" xfId="1546"/>
    <cellStyle name="20% - Accent6 2 2 6 2" xfId="1547"/>
    <cellStyle name="20% - Accent6 2 2 6 2 2" xfId="1548"/>
    <cellStyle name="20% - Accent6 2 2 6 2 2 2" xfId="10552"/>
    <cellStyle name="20% - Accent6 2 2 6 2 2 2 2" xfId="18368"/>
    <cellStyle name="20% - Accent6 2 2 6 2 2 3" xfId="14481"/>
    <cellStyle name="20% - Accent6 2 2 6 2 3" xfId="10551"/>
    <cellStyle name="20% - Accent6 2 2 6 2 3 2" xfId="18367"/>
    <cellStyle name="20% - Accent6 2 2 6 2 4" xfId="14480"/>
    <cellStyle name="20% - Accent6 2 2 6 3" xfId="1549"/>
    <cellStyle name="20% - Accent6 2 2 6 3 2" xfId="10553"/>
    <cellStyle name="20% - Accent6 2 2 6 3 2 2" xfId="18369"/>
    <cellStyle name="20% - Accent6 2 2 6 3 3" xfId="14482"/>
    <cellStyle name="20% - Accent6 2 2 6 4" xfId="10550"/>
    <cellStyle name="20% - Accent6 2 2 6 4 2" xfId="18366"/>
    <cellStyle name="20% - Accent6 2 2 6 5" xfId="14479"/>
    <cellStyle name="20% - Accent6 2 2 7" xfId="1550"/>
    <cellStyle name="20% - Accent6 2 2 7 2" xfId="1551"/>
    <cellStyle name="20% - Accent6 2 2 7 2 2" xfId="10555"/>
    <cellStyle name="20% - Accent6 2 2 7 2 2 2" xfId="18371"/>
    <cellStyle name="20% - Accent6 2 2 7 2 3" xfId="14484"/>
    <cellStyle name="20% - Accent6 2 2 7 3" xfId="10554"/>
    <cellStyle name="20% - Accent6 2 2 7 3 2" xfId="18370"/>
    <cellStyle name="20% - Accent6 2 2 7 4" xfId="14483"/>
    <cellStyle name="20% - Accent6 2 2 8" xfId="1552"/>
    <cellStyle name="20% - Accent6 2 2 8 2" xfId="10556"/>
    <cellStyle name="20% - Accent6 2 2 8 2 2" xfId="18372"/>
    <cellStyle name="20% - Accent6 2 2 8 3" xfId="14485"/>
    <cellStyle name="20% - Accent6 2 2 9" xfId="10485"/>
    <cellStyle name="20% - Accent6 2 2 9 2" xfId="18301"/>
    <cellStyle name="20% - Accent6 2 3" xfId="1553"/>
    <cellStyle name="20% - Accent6 2 3 2" xfId="1554"/>
    <cellStyle name="20% - Accent6 2 3 2 2" xfId="1555"/>
    <cellStyle name="20% - Accent6 2 3 2 2 2" xfId="1556"/>
    <cellStyle name="20% - Accent6 2 3 2 2 2 2" xfId="1557"/>
    <cellStyle name="20% - Accent6 2 3 2 2 2 2 2" xfId="10561"/>
    <cellStyle name="20% - Accent6 2 3 2 2 2 2 2 2" xfId="18377"/>
    <cellStyle name="20% - Accent6 2 3 2 2 2 2 3" xfId="14490"/>
    <cellStyle name="20% - Accent6 2 3 2 2 2 3" xfId="10560"/>
    <cellStyle name="20% - Accent6 2 3 2 2 2 3 2" xfId="18376"/>
    <cellStyle name="20% - Accent6 2 3 2 2 2 4" xfId="14489"/>
    <cellStyle name="20% - Accent6 2 3 2 2 3" xfId="1558"/>
    <cellStyle name="20% - Accent6 2 3 2 2 3 2" xfId="1559"/>
    <cellStyle name="20% - Accent6 2 3 2 2 3 2 2" xfId="10563"/>
    <cellStyle name="20% - Accent6 2 3 2 2 3 2 2 2" xfId="18379"/>
    <cellStyle name="20% - Accent6 2 3 2 2 3 2 3" xfId="14492"/>
    <cellStyle name="20% - Accent6 2 3 2 2 3 3" xfId="10562"/>
    <cellStyle name="20% - Accent6 2 3 2 2 3 3 2" xfId="18378"/>
    <cellStyle name="20% - Accent6 2 3 2 2 3 4" xfId="14491"/>
    <cellStyle name="20% - Accent6 2 3 2 2 4" xfId="1560"/>
    <cellStyle name="20% - Accent6 2 3 2 2 4 2" xfId="10564"/>
    <cellStyle name="20% - Accent6 2 3 2 2 4 2 2" xfId="18380"/>
    <cellStyle name="20% - Accent6 2 3 2 2 4 3" xfId="14493"/>
    <cellStyle name="20% - Accent6 2 3 2 2 5" xfId="10559"/>
    <cellStyle name="20% - Accent6 2 3 2 2 5 2" xfId="18375"/>
    <cellStyle name="20% - Accent6 2 3 2 2 6" xfId="14488"/>
    <cellStyle name="20% - Accent6 2 3 2 3" xfId="1561"/>
    <cellStyle name="20% - Accent6 2 3 2 3 2" xfId="1562"/>
    <cellStyle name="20% - Accent6 2 3 2 3 2 2" xfId="1563"/>
    <cellStyle name="20% - Accent6 2 3 2 3 2 2 2" xfId="10567"/>
    <cellStyle name="20% - Accent6 2 3 2 3 2 2 2 2" xfId="18383"/>
    <cellStyle name="20% - Accent6 2 3 2 3 2 2 3" xfId="14496"/>
    <cellStyle name="20% - Accent6 2 3 2 3 2 3" xfId="10566"/>
    <cellStyle name="20% - Accent6 2 3 2 3 2 3 2" xfId="18382"/>
    <cellStyle name="20% - Accent6 2 3 2 3 2 4" xfId="14495"/>
    <cellStyle name="20% - Accent6 2 3 2 3 3" xfId="1564"/>
    <cellStyle name="20% - Accent6 2 3 2 3 3 2" xfId="10568"/>
    <cellStyle name="20% - Accent6 2 3 2 3 3 2 2" xfId="18384"/>
    <cellStyle name="20% - Accent6 2 3 2 3 3 3" xfId="14497"/>
    <cellStyle name="20% - Accent6 2 3 2 3 4" xfId="10565"/>
    <cellStyle name="20% - Accent6 2 3 2 3 4 2" xfId="18381"/>
    <cellStyle name="20% - Accent6 2 3 2 3 5" xfId="14494"/>
    <cellStyle name="20% - Accent6 2 3 2 4" xfId="1565"/>
    <cellStyle name="20% - Accent6 2 3 2 4 2" xfId="1566"/>
    <cellStyle name="20% - Accent6 2 3 2 4 2 2" xfId="10570"/>
    <cellStyle name="20% - Accent6 2 3 2 4 2 2 2" xfId="18386"/>
    <cellStyle name="20% - Accent6 2 3 2 4 2 3" xfId="14499"/>
    <cellStyle name="20% - Accent6 2 3 2 4 3" xfId="10569"/>
    <cellStyle name="20% - Accent6 2 3 2 4 3 2" xfId="18385"/>
    <cellStyle name="20% - Accent6 2 3 2 4 4" xfId="14498"/>
    <cellStyle name="20% - Accent6 2 3 2 5" xfId="1567"/>
    <cellStyle name="20% - Accent6 2 3 2 5 2" xfId="10571"/>
    <cellStyle name="20% - Accent6 2 3 2 5 2 2" xfId="18387"/>
    <cellStyle name="20% - Accent6 2 3 2 5 3" xfId="14500"/>
    <cellStyle name="20% - Accent6 2 3 2 6" xfId="10558"/>
    <cellStyle name="20% - Accent6 2 3 2 6 2" xfId="18374"/>
    <cellStyle name="20% - Accent6 2 3 2 7" xfId="14487"/>
    <cellStyle name="20% - Accent6 2 3 3" xfId="1568"/>
    <cellStyle name="20% - Accent6 2 3 3 2" xfId="1569"/>
    <cellStyle name="20% - Accent6 2 3 3 2 2" xfId="1570"/>
    <cellStyle name="20% - Accent6 2 3 3 2 2 2" xfId="1571"/>
    <cellStyle name="20% - Accent6 2 3 3 2 2 2 2" xfId="10575"/>
    <cellStyle name="20% - Accent6 2 3 3 2 2 2 2 2" xfId="18391"/>
    <cellStyle name="20% - Accent6 2 3 3 2 2 2 3" xfId="14504"/>
    <cellStyle name="20% - Accent6 2 3 3 2 2 3" xfId="10574"/>
    <cellStyle name="20% - Accent6 2 3 3 2 2 3 2" xfId="18390"/>
    <cellStyle name="20% - Accent6 2 3 3 2 2 4" xfId="14503"/>
    <cellStyle name="20% - Accent6 2 3 3 2 3" xfId="1572"/>
    <cellStyle name="20% - Accent6 2 3 3 2 3 2" xfId="10576"/>
    <cellStyle name="20% - Accent6 2 3 3 2 3 2 2" xfId="18392"/>
    <cellStyle name="20% - Accent6 2 3 3 2 3 3" xfId="14505"/>
    <cellStyle name="20% - Accent6 2 3 3 2 4" xfId="10573"/>
    <cellStyle name="20% - Accent6 2 3 3 2 4 2" xfId="18389"/>
    <cellStyle name="20% - Accent6 2 3 3 2 5" xfId="14502"/>
    <cellStyle name="20% - Accent6 2 3 3 3" xfId="1573"/>
    <cellStyle name="20% - Accent6 2 3 3 3 2" xfId="1574"/>
    <cellStyle name="20% - Accent6 2 3 3 3 2 2" xfId="10578"/>
    <cellStyle name="20% - Accent6 2 3 3 3 2 2 2" xfId="18394"/>
    <cellStyle name="20% - Accent6 2 3 3 3 2 3" xfId="14507"/>
    <cellStyle name="20% - Accent6 2 3 3 3 3" xfId="10577"/>
    <cellStyle name="20% - Accent6 2 3 3 3 3 2" xfId="18393"/>
    <cellStyle name="20% - Accent6 2 3 3 3 4" xfId="14506"/>
    <cellStyle name="20% - Accent6 2 3 3 4" xfId="1575"/>
    <cellStyle name="20% - Accent6 2 3 3 4 2" xfId="1576"/>
    <cellStyle name="20% - Accent6 2 3 3 4 2 2" xfId="10580"/>
    <cellStyle name="20% - Accent6 2 3 3 4 2 2 2" xfId="18396"/>
    <cellStyle name="20% - Accent6 2 3 3 4 2 3" xfId="14509"/>
    <cellStyle name="20% - Accent6 2 3 3 4 3" xfId="10579"/>
    <cellStyle name="20% - Accent6 2 3 3 4 3 2" xfId="18395"/>
    <cellStyle name="20% - Accent6 2 3 3 4 4" xfId="14508"/>
    <cellStyle name="20% - Accent6 2 3 3 5" xfId="1577"/>
    <cellStyle name="20% - Accent6 2 3 3 5 2" xfId="10581"/>
    <cellStyle name="20% - Accent6 2 3 3 5 2 2" xfId="18397"/>
    <cellStyle name="20% - Accent6 2 3 3 5 3" xfId="14510"/>
    <cellStyle name="20% - Accent6 2 3 3 6" xfId="10572"/>
    <cellStyle name="20% - Accent6 2 3 3 6 2" xfId="18388"/>
    <cellStyle name="20% - Accent6 2 3 3 7" xfId="14501"/>
    <cellStyle name="20% - Accent6 2 3 4" xfId="1578"/>
    <cellStyle name="20% - Accent6 2 3 4 2" xfId="1579"/>
    <cellStyle name="20% - Accent6 2 3 4 2 2" xfId="1580"/>
    <cellStyle name="20% - Accent6 2 3 4 2 2 2" xfId="10584"/>
    <cellStyle name="20% - Accent6 2 3 4 2 2 2 2" xfId="18400"/>
    <cellStyle name="20% - Accent6 2 3 4 2 2 3" xfId="14513"/>
    <cellStyle name="20% - Accent6 2 3 4 2 3" xfId="10583"/>
    <cellStyle name="20% - Accent6 2 3 4 2 3 2" xfId="18399"/>
    <cellStyle name="20% - Accent6 2 3 4 2 4" xfId="14512"/>
    <cellStyle name="20% - Accent6 2 3 4 3" xfId="1581"/>
    <cellStyle name="20% - Accent6 2 3 4 3 2" xfId="10585"/>
    <cellStyle name="20% - Accent6 2 3 4 3 2 2" xfId="18401"/>
    <cellStyle name="20% - Accent6 2 3 4 3 3" xfId="14514"/>
    <cellStyle name="20% - Accent6 2 3 4 4" xfId="10582"/>
    <cellStyle name="20% - Accent6 2 3 4 4 2" xfId="18398"/>
    <cellStyle name="20% - Accent6 2 3 4 5" xfId="14511"/>
    <cellStyle name="20% - Accent6 2 3 5" xfId="1582"/>
    <cellStyle name="20% - Accent6 2 3 5 2" xfId="1583"/>
    <cellStyle name="20% - Accent6 2 3 5 2 2" xfId="10587"/>
    <cellStyle name="20% - Accent6 2 3 5 2 2 2" xfId="18403"/>
    <cellStyle name="20% - Accent6 2 3 5 2 3" xfId="14516"/>
    <cellStyle name="20% - Accent6 2 3 5 3" xfId="10586"/>
    <cellStyle name="20% - Accent6 2 3 5 3 2" xfId="18402"/>
    <cellStyle name="20% - Accent6 2 3 5 4" xfId="14515"/>
    <cellStyle name="20% - Accent6 2 3 6" xfId="1584"/>
    <cellStyle name="20% - Accent6 2 3 6 2" xfId="10588"/>
    <cellStyle name="20% - Accent6 2 3 6 2 2" xfId="18404"/>
    <cellStyle name="20% - Accent6 2 3 6 3" xfId="14517"/>
    <cellStyle name="20% - Accent6 2 3 7" xfId="10557"/>
    <cellStyle name="20% - Accent6 2 3 7 2" xfId="18373"/>
    <cellStyle name="20% - Accent6 2 3 8" xfId="14486"/>
    <cellStyle name="20% - Accent6 2 4" xfId="1585"/>
    <cellStyle name="20% - Accent6 2 4 2" xfId="1586"/>
    <cellStyle name="20% - Accent6 2 4 2 2" xfId="1587"/>
    <cellStyle name="20% - Accent6 2 4 2 2 2" xfId="1588"/>
    <cellStyle name="20% - Accent6 2 4 2 2 2 2" xfId="10592"/>
    <cellStyle name="20% - Accent6 2 4 2 2 2 2 2" xfId="18408"/>
    <cellStyle name="20% - Accent6 2 4 2 2 2 3" xfId="14521"/>
    <cellStyle name="20% - Accent6 2 4 2 2 3" xfId="10591"/>
    <cellStyle name="20% - Accent6 2 4 2 2 3 2" xfId="18407"/>
    <cellStyle name="20% - Accent6 2 4 2 2 4" xfId="14520"/>
    <cellStyle name="20% - Accent6 2 4 2 3" xfId="1589"/>
    <cellStyle name="20% - Accent6 2 4 2 3 2" xfId="1590"/>
    <cellStyle name="20% - Accent6 2 4 2 3 2 2" xfId="10594"/>
    <cellStyle name="20% - Accent6 2 4 2 3 2 2 2" xfId="18410"/>
    <cellStyle name="20% - Accent6 2 4 2 3 2 3" xfId="14523"/>
    <cellStyle name="20% - Accent6 2 4 2 3 3" xfId="10593"/>
    <cellStyle name="20% - Accent6 2 4 2 3 3 2" xfId="18409"/>
    <cellStyle name="20% - Accent6 2 4 2 3 4" xfId="14522"/>
    <cellStyle name="20% - Accent6 2 4 2 4" xfId="1591"/>
    <cellStyle name="20% - Accent6 2 4 2 4 2" xfId="10595"/>
    <cellStyle name="20% - Accent6 2 4 2 4 2 2" xfId="18411"/>
    <cellStyle name="20% - Accent6 2 4 2 4 3" xfId="14524"/>
    <cellStyle name="20% - Accent6 2 4 2 5" xfId="10590"/>
    <cellStyle name="20% - Accent6 2 4 2 5 2" xfId="18406"/>
    <cellStyle name="20% - Accent6 2 4 2 6" xfId="14519"/>
    <cellStyle name="20% - Accent6 2 4 3" xfId="1592"/>
    <cellStyle name="20% - Accent6 2 4 3 2" xfId="1593"/>
    <cellStyle name="20% - Accent6 2 4 3 2 2" xfId="1594"/>
    <cellStyle name="20% - Accent6 2 4 3 2 2 2" xfId="10598"/>
    <cellStyle name="20% - Accent6 2 4 3 2 2 2 2" xfId="18414"/>
    <cellStyle name="20% - Accent6 2 4 3 2 2 3" xfId="14527"/>
    <cellStyle name="20% - Accent6 2 4 3 2 3" xfId="10597"/>
    <cellStyle name="20% - Accent6 2 4 3 2 3 2" xfId="18413"/>
    <cellStyle name="20% - Accent6 2 4 3 2 4" xfId="14526"/>
    <cellStyle name="20% - Accent6 2 4 3 3" xfId="1595"/>
    <cellStyle name="20% - Accent6 2 4 3 3 2" xfId="10599"/>
    <cellStyle name="20% - Accent6 2 4 3 3 2 2" xfId="18415"/>
    <cellStyle name="20% - Accent6 2 4 3 3 3" xfId="14528"/>
    <cellStyle name="20% - Accent6 2 4 3 4" xfId="10596"/>
    <cellStyle name="20% - Accent6 2 4 3 4 2" xfId="18412"/>
    <cellStyle name="20% - Accent6 2 4 3 5" xfId="14525"/>
    <cellStyle name="20% - Accent6 2 4 4" xfId="1596"/>
    <cellStyle name="20% - Accent6 2 4 4 2" xfId="1597"/>
    <cellStyle name="20% - Accent6 2 4 4 2 2" xfId="10601"/>
    <cellStyle name="20% - Accent6 2 4 4 2 2 2" xfId="18417"/>
    <cellStyle name="20% - Accent6 2 4 4 2 3" xfId="14530"/>
    <cellStyle name="20% - Accent6 2 4 4 3" xfId="10600"/>
    <cellStyle name="20% - Accent6 2 4 4 3 2" xfId="18416"/>
    <cellStyle name="20% - Accent6 2 4 4 4" xfId="14529"/>
    <cellStyle name="20% - Accent6 2 4 5" xfId="1598"/>
    <cellStyle name="20% - Accent6 2 4 5 2" xfId="10602"/>
    <cellStyle name="20% - Accent6 2 4 5 2 2" xfId="18418"/>
    <cellStyle name="20% - Accent6 2 4 5 3" xfId="14531"/>
    <cellStyle name="20% - Accent6 2 4 6" xfId="10589"/>
    <cellStyle name="20% - Accent6 2 4 6 2" xfId="18405"/>
    <cellStyle name="20% - Accent6 2 4 7" xfId="14518"/>
    <cellStyle name="20% - Accent6 2 5" xfId="1599"/>
    <cellStyle name="20% - Accent6 2 5 2" xfId="1600"/>
    <cellStyle name="20% - Accent6 2 5 2 2" xfId="1601"/>
    <cellStyle name="20% - Accent6 2 5 2 2 2" xfId="1602"/>
    <cellStyle name="20% - Accent6 2 5 2 2 2 2" xfId="10606"/>
    <cellStyle name="20% - Accent6 2 5 2 2 2 2 2" xfId="18422"/>
    <cellStyle name="20% - Accent6 2 5 2 2 2 3" xfId="14535"/>
    <cellStyle name="20% - Accent6 2 5 2 2 3" xfId="10605"/>
    <cellStyle name="20% - Accent6 2 5 2 2 3 2" xfId="18421"/>
    <cellStyle name="20% - Accent6 2 5 2 2 4" xfId="14534"/>
    <cellStyle name="20% - Accent6 2 5 2 3" xfId="1603"/>
    <cellStyle name="20% - Accent6 2 5 2 3 2" xfId="10607"/>
    <cellStyle name="20% - Accent6 2 5 2 3 2 2" xfId="18423"/>
    <cellStyle name="20% - Accent6 2 5 2 3 3" xfId="14536"/>
    <cellStyle name="20% - Accent6 2 5 2 4" xfId="10604"/>
    <cellStyle name="20% - Accent6 2 5 2 4 2" xfId="18420"/>
    <cellStyle name="20% - Accent6 2 5 2 5" xfId="14533"/>
    <cellStyle name="20% - Accent6 2 5 3" xfId="1604"/>
    <cellStyle name="20% - Accent6 2 5 3 2" xfId="1605"/>
    <cellStyle name="20% - Accent6 2 5 3 2 2" xfId="10609"/>
    <cellStyle name="20% - Accent6 2 5 3 2 2 2" xfId="18425"/>
    <cellStyle name="20% - Accent6 2 5 3 2 3" xfId="14538"/>
    <cellStyle name="20% - Accent6 2 5 3 3" xfId="10608"/>
    <cellStyle name="20% - Accent6 2 5 3 3 2" xfId="18424"/>
    <cellStyle name="20% - Accent6 2 5 3 4" xfId="14537"/>
    <cellStyle name="20% - Accent6 2 5 4" xfId="1606"/>
    <cellStyle name="20% - Accent6 2 5 4 2" xfId="10610"/>
    <cellStyle name="20% - Accent6 2 5 4 2 2" xfId="18426"/>
    <cellStyle name="20% - Accent6 2 5 4 3" xfId="14539"/>
    <cellStyle name="20% - Accent6 2 5 5" xfId="10603"/>
    <cellStyle name="20% - Accent6 2 5 5 2" xfId="18419"/>
    <cellStyle name="20% - Accent6 2 5 6" xfId="14532"/>
    <cellStyle name="20% - Accent6 2 6" xfId="1607"/>
    <cellStyle name="20% - Accent6 2 6 2" xfId="1608"/>
    <cellStyle name="20% - Accent6 2 6 2 2" xfId="1609"/>
    <cellStyle name="20% - Accent6 2 6 2 2 2" xfId="1610"/>
    <cellStyle name="20% - Accent6 2 6 2 2 2 2" xfId="10614"/>
    <cellStyle name="20% - Accent6 2 6 2 2 2 2 2" xfId="18430"/>
    <cellStyle name="20% - Accent6 2 6 2 2 2 3" xfId="14543"/>
    <cellStyle name="20% - Accent6 2 6 2 2 3" xfId="10613"/>
    <cellStyle name="20% - Accent6 2 6 2 2 3 2" xfId="18429"/>
    <cellStyle name="20% - Accent6 2 6 2 2 4" xfId="14542"/>
    <cellStyle name="20% - Accent6 2 6 2 3" xfId="1611"/>
    <cellStyle name="20% - Accent6 2 6 2 3 2" xfId="10615"/>
    <cellStyle name="20% - Accent6 2 6 2 3 2 2" xfId="18431"/>
    <cellStyle name="20% - Accent6 2 6 2 3 3" xfId="14544"/>
    <cellStyle name="20% - Accent6 2 6 2 4" xfId="10612"/>
    <cellStyle name="20% - Accent6 2 6 2 4 2" xfId="18428"/>
    <cellStyle name="20% - Accent6 2 6 2 5" xfId="14541"/>
    <cellStyle name="20% - Accent6 2 6 3" xfId="1612"/>
    <cellStyle name="20% - Accent6 2 6 3 2" xfId="1613"/>
    <cellStyle name="20% - Accent6 2 6 3 2 2" xfId="10617"/>
    <cellStyle name="20% - Accent6 2 6 3 2 2 2" xfId="18433"/>
    <cellStyle name="20% - Accent6 2 6 3 2 3" xfId="14546"/>
    <cellStyle name="20% - Accent6 2 6 3 3" xfId="10616"/>
    <cellStyle name="20% - Accent6 2 6 3 3 2" xfId="18432"/>
    <cellStyle name="20% - Accent6 2 6 3 4" xfId="14545"/>
    <cellStyle name="20% - Accent6 2 6 4" xfId="1614"/>
    <cellStyle name="20% - Accent6 2 6 4 2" xfId="10618"/>
    <cellStyle name="20% - Accent6 2 6 4 2 2" xfId="18434"/>
    <cellStyle name="20% - Accent6 2 6 4 3" xfId="14547"/>
    <cellStyle name="20% - Accent6 2 6 5" xfId="10611"/>
    <cellStyle name="20% - Accent6 2 6 5 2" xfId="18427"/>
    <cellStyle name="20% - Accent6 2 6 6" xfId="14540"/>
    <cellStyle name="20% - Accent6 2 7" xfId="1615"/>
    <cellStyle name="20% - Accent6 2 7 2" xfId="1616"/>
    <cellStyle name="20% - Accent6 2 7 2 2" xfId="1617"/>
    <cellStyle name="20% - Accent6 2 7 2 2 2" xfId="10621"/>
    <cellStyle name="20% - Accent6 2 7 2 2 2 2" xfId="18437"/>
    <cellStyle name="20% - Accent6 2 7 2 2 3" xfId="14550"/>
    <cellStyle name="20% - Accent6 2 7 2 3" xfId="10620"/>
    <cellStyle name="20% - Accent6 2 7 2 3 2" xfId="18436"/>
    <cellStyle name="20% - Accent6 2 7 2 4" xfId="14549"/>
    <cellStyle name="20% - Accent6 2 7 3" xfId="1618"/>
    <cellStyle name="20% - Accent6 2 7 3 2" xfId="10622"/>
    <cellStyle name="20% - Accent6 2 7 3 2 2" xfId="18438"/>
    <cellStyle name="20% - Accent6 2 7 3 3" xfId="14551"/>
    <cellStyle name="20% - Accent6 2 7 4" xfId="10619"/>
    <cellStyle name="20% - Accent6 2 7 4 2" xfId="18435"/>
    <cellStyle name="20% - Accent6 2 7 5" xfId="14548"/>
    <cellStyle name="20% - Accent6 2 8" xfId="1619"/>
    <cellStyle name="20% - Accent6 2 8 2" xfId="1620"/>
    <cellStyle name="20% - Accent6 2 8 2 2" xfId="10624"/>
    <cellStyle name="20% - Accent6 2 8 2 2 2" xfId="18440"/>
    <cellStyle name="20% - Accent6 2 8 2 3" xfId="14553"/>
    <cellStyle name="20% - Accent6 2 8 3" xfId="10623"/>
    <cellStyle name="20% - Accent6 2 8 3 2" xfId="18439"/>
    <cellStyle name="20% - Accent6 2 8 4" xfId="14552"/>
    <cellStyle name="20% - Accent6 2 9" xfId="1621"/>
    <cellStyle name="20% - Accent6 2 9 2" xfId="1622"/>
    <cellStyle name="20% - Accent6 2 9 2 2" xfId="10626"/>
    <cellStyle name="20% - Accent6 2 9 2 2 2" xfId="18442"/>
    <cellStyle name="20% - Accent6 2 9 2 3" xfId="14555"/>
    <cellStyle name="20% - Accent6 2 9 3" xfId="10625"/>
    <cellStyle name="20% - Accent6 2 9 3 2" xfId="18441"/>
    <cellStyle name="20% - Accent6 2 9 4" xfId="14554"/>
    <cellStyle name="20% - Accent6 3" xfId="1623"/>
    <cellStyle name="20% - Accent6 3 2" xfId="1624"/>
    <cellStyle name="20% - Accent6 3 2 2" xfId="1625"/>
    <cellStyle name="20% - Accent6 3 2 2 2" xfId="1626"/>
    <cellStyle name="20% - Accent6 3 2 2 2 2" xfId="1627"/>
    <cellStyle name="20% - Accent6 3 2 2 2 2 2" xfId="1628"/>
    <cellStyle name="20% - Accent6 3 2 2 2 2 2 2" xfId="10631"/>
    <cellStyle name="20% - Accent6 3 2 2 2 2 2 2 2" xfId="18447"/>
    <cellStyle name="20% - Accent6 3 2 2 2 2 2 3" xfId="14560"/>
    <cellStyle name="20% - Accent6 3 2 2 2 2 3" xfId="10630"/>
    <cellStyle name="20% - Accent6 3 2 2 2 2 3 2" xfId="18446"/>
    <cellStyle name="20% - Accent6 3 2 2 2 2 4" xfId="14559"/>
    <cellStyle name="20% - Accent6 3 2 2 2 3" xfId="1629"/>
    <cellStyle name="20% - Accent6 3 2 2 2 3 2" xfId="1630"/>
    <cellStyle name="20% - Accent6 3 2 2 2 3 2 2" xfId="10633"/>
    <cellStyle name="20% - Accent6 3 2 2 2 3 2 2 2" xfId="18449"/>
    <cellStyle name="20% - Accent6 3 2 2 2 3 2 3" xfId="14562"/>
    <cellStyle name="20% - Accent6 3 2 2 2 3 3" xfId="10632"/>
    <cellStyle name="20% - Accent6 3 2 2 2 3 3 2" xfId="18448"/>
    <cellStyle name="20% - Accent6 3 2 2 2 3 4" xfId="14561"/>
    <cellStyle name="20% - Accent6 3 2 2 2 4" xfId="1631"/>
    <cellStyle name="20% - Accent6 3 2 2 2 4 2" xfId="10634"/>
    <cellStyle name="20% - Accent6 3 2 2 2 4 2 2" xfId="18450"/>
    <cellStyle name="20% - Accent6 3 2 2 2 4 3" xfId="14563"/>
    <cellStyle name="20% - Accent6 3 2 2 2 5" xfId="10629"/>
    <cellStyle name="20% - Accent6 3 2 2 2 5 2" xfId="18445"/>
    <cellStyle name="20% - Accent6 3 2 2 2 6" xfId="14558"/>
    <cellStyle name="20% - Accent6 3 2 2 3" xfId="1632"/>
    <cellStyle name="20% - Accent6 3 2 2 3 2" xfId="1633"/>
    <cellStyle name="20% - Accent6 3 2 2 3 2 2" xfId="1634"/>
    <cellStyle name="20% - Accent6 3 2 2 3 2 2 2" xfId="10637"/>
    <cellStyle name="20% - Accent6 3 2 2 3 2 2 2 2" xfId="18453"/>
    <cellStyle name="20% - Accent6 3 2 2 3 2 2 3" xfId="14566"/>
    <cellStyle name="20% - Accent6 3 2 2 3 2 3" xfId="10636"/>
    <cellStyle name="20% - Accent6 3 2 2 3 2 3 2" xfId="18452"/>
    <cellStyle name="20% - Accent6 3 2 2 3 2 4" xfId="14565"/>
    <cellStyle name="20% - Accent6 3 2 2 3 3" xfId="1635"/>
    <cellStyle name="20% - Accent6 3 2 2 3 3 2" xfId="10638"/>
    <cellStyle name="20% - Accent6 3 2 2 3 3 2 2" xfId="18454"/>
    <cellStyle name="20% - Accent6 3 2 2 3 3 3" xfId="14567"/>
    <cellStyle name="20% - Accent6 3 2 2 3 4" xfId="10635"/>
    <cellStyle name="20% - Accent6 3 2 2 3 4 2" xfId="18451"/>
    <cellStyle name="20% - Accent6 3 2 2 3 5" xfId="14564"/>
    <cellStyle name="20% - Accent6 3 2 2 4" xfId="1636"/>
    <cellStyle name="20% - Accent6 3 2 2 4 2" xfId="1637"/>
    <cellStyle name="20% - Accent6 3 2 2 4 2 2" xfId="10640"/>
    <cellStyle name="20% - Accent6 3 2 2 4 2 2 2" xfId="18456"/>
    <cellStyle name="20% - Accent6 3 2 2 4 2 3" xfId="14569"/>
    <cellStyle name="20% - Accent6 3 2 2 4 3" xfId="10639"/>
    <cellStyle name="20% - Accent6 3 2 2 4 3 2" xfId="18455"/>
    <cellStyle name="20% - Accent6 3 2 2 4 4" xfId="14568"/>
    <cellStyle name="20% - Accent6 3 2 2 5" xfId="1638"/>
    <cellStyle name="20% - Accent6 3 2 2 5 2" xfId="10641"/>
    <cellStyle name="20% - Accent6 3 2 2 5 2 2" xfId="18457"/>
    <cellStyle name="20% - Accent6 3 2 2 5 3" xfId="14570"/>
    <cellStyle name="20% - Accent6 3 2 2 6" xfId="10628"/>
    <cellStyle name="20% - Accent6 3 2 2 6 2" xfId="18444"/>
    <cellStyle name="20% - Accent6 3 2 2 7" xfId="14557"/>
    <cellStyle name="20% - Accent6 3 2 3" xfId="1639"/>
    <cellStyle name="20% - Accent6 3 2 3 2" xfId="1640"/>
    <cellStyle name="20% - Accent6 3 2 3 2 2" xfId="1641"/>
    <cellStyle name="20% - Accent6 3 2 3 2 2 2" xfId="1642"/>
    <cellStyle name="20% - Accent6 3 2 3 2 2 2 2" xfId="10645"/>
    <cellStyle name="20% - Accent6 3 2 3 2 2 2 2 2" xfId="18461"/>
    <cellStyle name="20% - Accent6 3 2 3 2 2 2 3" xfId="14574"/>
    <cellStyle name="20% - Accent6 3 2 3 2 2 3" xfId="10644"/>
    <cellStyle name="20% - Accent6 3 2 3 2 2 3 2" xfId="18460"/>
    <cellStyle name="20% - Accent6 3 2 3 2 2 4" xfId="14573"/>
    <cellStyle name="20% - Accent6 3 2 3 2 3" xfId="1643"/>
    <cellStyle name="20% - Accent6 3 2 3 2 3 2" xfId="10646"/>
    <cellStyle name="20% - Accent6 3 2 3 2 3 2 2" xfId="18462"/>
    <cellStyle name="20% - Accent6 3 2 3 2 3 3" xfId="14575"/>
    <cellStyle name="20% - Accent6 3 2 3 2 4" xfId="10643"/>
    <cellStyle name="20% - Accent6 3 2 3 2 4 2" xfId="18459"/>
    <cellStyle name="20% - Accent6 3 2 3 2 5" xfId="14572"/>
    <cellStyle name="20% - Accent6 3 2 3 3" xfId="1644"/>
    <cellStyle name="20% - Accent6 3 2 3 3 2" xfId="1645"/>
    <cellStyle name="20% - Accent6 3 2 3 3 2 2" xfId="10648"/>
    <cellStyle name="20% - Accent6 3 2 3 3 2 2 2" xfId="18464"/>
    <cellStyle name="20% - Accent6 3 2 3 3 2 3" xfId="14577"/>
    <cellStyle name="20% - Accent6 3 2 3 3 3" xfId="10647"/>
    <cellStyle name="20% - Accent6 3 2 3 3 3 2" xfId="18463"/>
    <cellStyle name="20% - Accent6 3 2 3 3 4" xfId="14576"/>
    <cellStyle name="20% - Accent6 3 2 3 4" xfId="1646"/>
    <cellStyle name="20% - Accent6 3 2 3 4 2" xfId="1647"/>
    <cellStyle name="20% - Accent6 3 2 3 4 2 2" xfId="10650"/>
    <cellStyle name="20% - Accent6 3 2 3 4 2 2 2" xfId="18466"/>
    <cellStyle name="20% - Accent6 3 2 3 4 2 3" xfId="14579"/>
    <cellStyle name="20% - Accent6 3 2 3 4 3" xfId="10649"/>
    <cellStyle name="20% - Accent6 3 2 3 4 3 2" xfId="18465"/>
    <cellStyle name="20% - Accent6 3 2 3 4 4" xfId="14578"/>
    <cellStyle name="20% - Accent6 3 2 3 5" xfId="1648"/>
    <cellStyle name="20% - Accent6 3 2 3 5 2" xfId="10651"/>
    <cellStyle name="20% - Accent6 3 2 3 5 2 2" xfId="18467"/>
    <cellStyle name="20% - Accent6 3 2 3 5 3" xfId="14580"/>
    <cellStyle name="20% - Accent6 3 2 3 6" xfId="10642"/>
    <cellStyle name="20% - Accent6 3 2 3 6 2" xfId="18458"/>
    <cellStyle name="20% - Accent6 3 2 3 7" xfId="14571"/>
    <cellStyle name="20% - Accent6 3 2 4" xfId="1649"/>
    <cellStyle name="20% - Accent6 3 2 4 2" xfId="1650"/>
    <cellStyle name="20% - Accent6 3 2 4 2 2" xfId="1651"/>
    <cellStyle name="20% - Accent6 3 2 4 2 2 2" xfId="10654"/>
    <cellStyle name="20% - Accent6 3 2 4 2 2 2 2" xfId="18470"/>
    <cellStyle name="20% - Accent6 3 2 4 2 2 3" xfId="14583"/>
    <cellStyle name="20% - Accent6 3 2 4 2 3" xfId="10653"/>
    <cellStyle name="20% - Accent6 3 2 4 2 3 2" xfId="18469"/>
    <cellStyle name="20% - Accent6 3 2 4 2 4" xfId="14582"/>
    <cellStyle name="20% - Accent6 3 2 4 3" xfId="1652"/>
    <cellStyle name="20% - Accent6 3 2 4 3 2" xfId="10655"/>
    <cellStyle name="20% - Accent6 3 2 4 3 2 2" xfId="18471"/>
    <cellStyle name="20% - Accent6 3 2 4 3 3" xfId="14584"/>
    <cellStyle name="20% - Accent6 3 2 4 4" xfId="10652"/>
    <cellStyle name="20% - Accent6 3 2 4 4 2" xfId="18468"/>
    <cellStyle name="20% - Accent6 3 2 4 5" xfId="14581"/>
    <cellStyle name="20% - Accent6 3 2 5" xfId="1653"/>
    <cellStyle name="20% - Accent6 3 2 5 2" xfId="1654"/>
    <cellStyle name="20% - Accent6 3 2 5 2 2" xfId="10657"/>
    <cellStyle name="20% - Accent6 3 2 5 2 2 2" xfId="18473"/>
    <cellStyle name="20% - Accent6 3 2 5 2 3" xfId="14586"/>
    <cellStyle name="20% - Accent6 3 2 5 3" xfId="10656"/>
    <cellStyle name="20% - Accent6 3 2 5 3 2" xfId="18472"/>
    <cellStyle name="20% - Accent6 3 2 5 4" xfId="14585"/>
    <cellStyle name="20% - Accent6 3 2 6" xfId="1655"/>
    <cellStyle name="20% - Accent6 3 2 6 2" xfId="10658"/>
    <cellStyle name="20% - Accent6 3 2 6 2 2" xfId="18474"/>
    <cellStyle name="20% - Accent6 3 2 6 3" xfId="14587"/>
    <cellStyle name="20% - Accent6 3 2 7" xfId="10627"/>
    <cellStyle name="20% - Accent6 3 2 7 2" xfId="18443"/>
    <cellStyle name="20% - Accent6 3 2 8" xfId="14556"/>
    <cellStyle name="20% - Accent6 3 3" xfId="1656"/>
    <cellStyle name="20% - Accent6 3 3 2" xfId="1657"/>
    <cellStyle name="20% - Accent6 3 3 2 2" xfId="1658"/>
    <cellStyle name="20% - Accent6 3 3 2 2 2" xfId="1659"/>
    <cellStyle name="20% - Accent6 3 3 2 2 2 2" xfId="10662"/>
    <cellStyle name="20% - Accent6 3 3 2 2 2 2 2" xfId="18478"/>
    <cellStyle name="20% - Accent6 3 3 2 2 2 3" xfId="14591"/>
    <cellStyle name="20% - Accent6 3 3 2 2 3" xfId="10661"/>
    <cellStyle name="20% - Accent6 3 3 2 2 3 2" xfId="18477"/>
    <cellStyle name="20% - Accent6 3 3 2 2 4" xfId="14590"/>
    <cellStyle name="20% - Accent6 3 3 2 3" xfId="1660"/>
    <cellStyle name="20% - Accent6 3 3 2 3 2" xfId="1661"/>
    <cellStyle name="20% - Accent6 3 3 2 3 2 2" xfId="10664"/>
    <cellStyle name="20% - Accent6 3 3 2 3 2 2 2" xfId="18480"/>
    <cellStyle name="20% - Accent6 3 3 2 3 2 3" xfId="14593"/>
    <cellStyle name="20% - Accent6 3 3 2 3 3" xfId="10663"/>
    <cellStyle name="20% - Accent6 3 3 2 3 3 2" xfId="18479"/>
    <cellStyle name="20% - Accent6 3 3 2 3 4" xfId="14592"/>
    <cellStyle name="20% - Accent6 3 3 2 4" xfId="1662"/>
    <cellStyle name="20% - Accent6 3 3 2 4 2" xfId="10665"/>
    <cellStyle name="20% - Accent6 3 3 2 4 2 2" xfId="18481"/>
    <cellStyle name="20% - Accent6 3 3 2 4 3" xfId="14594"/>
    <cellStyle name="20% - Accent6 3 3 2 5" xfId="10660"/>
    <cellStyle name="20% - Accent6 3 3 2 5 2" xfId="18476"/>
    <cellStyle name="20% - Accent6 3 3 2 6" xfId="14589"/>
    <cellStyle name="20% - Accent6 3 3 3" xfId="1663"/>
    <cellStyle name="20% - Accent6 3 3 3 2" xfId="1664"/>
    <cellStyle name="20% - Accent6 3 3 3 2 2" xfId="1665"/>
    <cellStyle name="20% - Accent6 3 3 3 2 2 2" xfId="10668"/>
    <cellStyle name="20% - Accent6 3 3 3 2 2 2 2" xfId="18484"/>
    <cellStyle name="20% - Accent6 3 3 3 2 2 3" xfId="14597"/>
    <cellStyle name="20% - Accent6 3 3 3 2 3" xfId="10667"/>
    <cellStyle name="20% - Accent6 3 3 3 2 3 2" xfId="18483"/>
    <cellStyle name="20% - Accent6 3 3 3 2 4" xfId="14596"/>
    <cellStyle name="20% - Accent6 3 3 3 3" xfId="1666"/>
    <cellStyle name="20% - Accent6 3 3 3 3 2" xfId="10669"/>
    <cellStyle name="20% - Accent6 3 3 3 3 2 2" xfId="18485"/>
    <cellStyle name="20% - Accent6 3 3 3 3 3" xfId="14598"/>
    <cellStyle name="20% - Accent6 3 3 3 4" xfId="10666"/>
    <cellStyle name="20% - Accent6 3 3 3 4 2" xfId="18482"/>
    <cellStyle name="20% - Accent6 3 3 3 5" xfId="14595"/>
    <cellStyle name="20% - Accent6 3 3 4" xfId="1667"/>
    <cellStyle name="20% - Accent6 3 3 4 2" xfId="1668"/>
    <cellStyle name="20% - Accent6 3 3 4 2 2" xfId="10671"/>
    <cellStyle name="20% - Accent6 3 3 4 2 2 2" xfId="18487"/>
    <cellStyle name="20% - Accent6 3 3 4 2 3" xfId="14600"/>
    <cellStyle name="20% - Accent6 3 3 4 3" xfId="10670"/>
    <cellStyle name="20% - Accent6 3 3 4 3 2" xfId="18486"/>
    <cellStyle name="20% - Accent6 3 3 4 4" xfId="14599"/>
    <cellStyle name="20% - Accent6 3 3 5" xfId="1669"/>
    <cellStyle name="20% - Accent6 3 3 5 2" xfId="10672"/>
    <cellStyle name="20% - Accent6 3 3 5 2 2" xfId="18488"/>
    <cellStyle name="20% - Accent6 3 3 5 3" xfId="14601"/>
    <cellStyle name="20% - Accent6 3 3 6" xfId="10659"/>
    <cellStyle name="20% - Accent6 3 3 6 2" xfId="18475"/>
    <cellStyle name="20% - Accent6 3 3 7" xfId="14588"/>
    <cellStyle name="20% - Accent6 3 4" xfId="1670"/>
    <cellStyle name="20% - Accent6 3 4 2" xfId="1671"/>
    <cellStyle name="20% - Accent6 3 4 2 2" xfId="1672"/>
    <cellStyle name="20% - Accent6 3 4 2 2 2" xfId="1673"/>
    <cellStyle name="20% - Accent6 3 4 2 2 2 2" xfId="10676"/>
    <cellStyle name="20% - Accent6 3 4 2 2 2 2 2" xfId="18492"/>
    <cellStyle name="20% - Accent6 3 4 2 2 2 3" xfId="14605"/>
    <cellStyle name="20% - Accent6 3 4 2 2 3" xfId="10675"/>
    <cellStyle name="20% - Accent6 3 4 2 2 3 2" xfId="18491"/>
    <cellStyle name="20% - Accent6 3 4 2 2 4" xfId="14604"/>
    <cellStyle name="20% - Accent6 3 4 2 3" xfId="1674"/>
    <cellStyle name="20% - Accent6 3 4 2 3 2" xfId="10677"/>
    <cellStyle name="20% - Accent6 3 4 2 3 2 2" xfId="18493"/>
    <cellStyle name="20% - Accent6 3 4 2 3 3" xfId="14606"/>
    <cellStyle name="20% - Accent6 3 4 2 4" xfId="10674"/>
    <cellStyle name="20% - Accent6 3 4 2 4 2" xfId="18490"/>
    <cellStyle name="20% - Accent6 3 4 2 5" xfId="14603"/>
    <cellStyle name="20% - Accent6 3 4 3" xfId="1675"/>
    <cellStyle name="20% - Accent6 3 4 3 2" xfId="1676"/>
    <cellStyle name="20% - Accent6 3 4 3 2 2" xfId="10679"/>
    <cellStyle name="20% - Accent6 3 4 3 2 2 2" xfId="18495"/>
    <cellStyle name="20% - Accent6 3 4 3 2 3" xfId="14608"/>
    <cellStyle name="20% - Accent6 3 4 3 3" xfId="10678"/>
    <cellStyle name="20% - Accent6 3 4 3 3 2" xfId="18494"/>
    <cellStyle name="20% - Accent6 3 4 3 4" xfId="14607"/>
    <cellStyle name="20% - Accent6 3 4 4" xfId="1677"/>
    <cellStyle name="20% - Accent6 3 4 4 2" xfId="10680"/>
    <cellStyle name="20% - Accent6 3 4 4 2 2" xfId="18496"/>
    <cellStyle name="20% - Accent6 3 4 4 3" xfId="14609"/>
    <cellStyle name="20% - Accent6 3 4 5" xfId="10673"/>
    <cellStyle name="20% - Accent6 3 4 5 2" xfId="18489"/>
    <cellStyle name="20% - Accent6 3 4 6" xfId="14602"/>
    <cellStyle name="20% - Accent6 3 5" xfId="1678"/>
    <cellStyle name="20% - Accent6 3 5 2" xfId="1679"/>
    <cellStyle name="20% - Accent6 3 5 2 2" xfId="1680"/>
    <cellStyle name="20% - Accent6 3 5 2 2 2" xfId="1681"/>
    <cellStyle name="20% - Accent6 3 5 2 2 2 2" xfId="10684"/>
    <cellStyle name="20% - Accent6 3 5 2 2 2 2 2" xfId="18500"/>
    <cellStyle name="20% - Accent6 3 5 2 2 2 3" xfId="14613"/>
    <cellStyle name="20% - Accent6 3 5 2 2 3" xfId="10683"/>
    <cellStyle name="20% - Accent6 3 5 2 2 3 2" xfId="18499"/>
    <cellStyle name="20% - Accent6 3 5 2 2 4" xfId="14612"/>
    <cellStyle name="20% - Accent6 3 5 2 3" xfId="1682"/>
    <cellStyle name="20% - Accent6 3 5 2 3 2" xfId="10685"/>
    <cellStyle name="20% - Accent6 3 5 2 3 2 2" xfId="18501"/>
    <cellStyle name="20% - Accent6 3 5 2 3 3" xfId="14614"/>
    <cellStyle name="20% - Accent6 3 5 2 4" xfId="10682"/>
    <cellStyle name="20% - Accent6 3 5 2 4 2" xfId="18498"/>
    <cellStyle name="20% - Accent6 3 5 2 5" xfId="14611"/>
    <cellStyle name="20% - Accent6 3 5 3" xfId="1683"/>
    <cellStyle name="20% - Accent6 3 5 3 2" xfId="1684"/>
    <cellStyle name="20% - Accent6 3 5 3 2 2" xfId="10687"/>
    <cellStyle name="20% - Accent6 3 5 3 2 2 2" xfId="18503"/>
    <cellStyle name="20% - Accent6 3 5 3 2 3" xfId="14616"/>
    <cellStyle name="20% - Accent6 3 5 3 3" xfId="10686"/>
    <cellStyle name="20% - Accent6 3 5 3 3 2" xfId="18502"/>
    <cellStyle name="20% - Accent6 3 5 3 4" xfId="14615"/>
    <cellStyle name="20% - Accent6 3 5 4" xfId="1685"/>
    <cellStyle name="20% - Accent6 3 5 4 2" xfId="1686"/>
    <cellStyle name="20% - Accent6 3 5 4 2 2" xfId="10689"/>
    <cellStyle name="20% - Accent6 3 5 4 2 2 2" xfId="18505"/>
    <cellStyle name="20% - Accent6 3 5 4 2 3" xfId="14618"/>
    <cellStyle name="20% - Accent6 3 5 4 3" xfId="10688"/>
    <cellStyle name="20% - Accent6 3 5 4 3 2" xfId="18504"/>
    <cellStyle name="20% - Accent6 3 5 4 4" xfId="14617"/>
    <cellStyle name="20% - Accent6 3 5 5" xfId="1687"/>
    <cellStyle name="20% - Accent6 3 5 5 2" xfId="10690"/>
    <cellStyle name="20% - Accent6 3 5 5 2 2" xfId="18506"/>
    <cellStyle name="20% - Accent6 3 5 5 3" xfId="14619"/>
    <cellStyle name="20% - Accent6 3 5 6" xfId="10681"/>
    <cellStyle name="20% - Accent6 3 5 6 2" xfId="18497"/>
    <cellStyle name="20% - Accent6 3 5 7" xfId="14610"/>
    <cellStyle name="20% - Accent6 3 6" xfId="1688"/>
    <cellStyle name="20% - Accent6 3 6 2" xfId="1689"/>
    <cellStyle name="20% - Accent6 3 6 2 2" xfId="1690"/>
    <cellStyle name="20% - Accent6 3 6 2 2 2" xfId="10693"/>
    <cellStyle name="20% - Accent6 3 6 2 2 2 2" xfId="18509"/>
    <cellStyle name="20% - Accent6 3 6 2 2 3" xfId="14622"/>
    <cellStyle name="20% - Accent6 3 6 2 3" xfId="10692"/>
    <cellStyle name="20% - Accent6 3 6 2 3 2" xfId="18508"/>
    <cellStyle name="20% - Accent6 3 6 2 4" xfId="14621"/>
    <cellStyle name="20% - Accent6 3 6 3" xfId="1691"/>
    <cellStyle name="20% - Accent6 3 6 3 2" xfId="10694"/>
    <cellStyle name="20% - Accent6 3 6 3 2 2" xfId="18510"/>
    <cellStyle name="20% - Accent6 3 6 3 3" xfId="14623"/>
    <cellStyle name="20% - Accent6 3 6 4" xfId="10691"/>
    <cellStyle name="20% - Accent6 3 6 4 2" xfId="18507"/>
    <cellStyle name="20% - Accent6 3 6 5" xfId="14620"/>
    <cellStyle name="20% - Accent6 3 7" xfId="1692"/>
    <cellStyle name="20% - Accent6 3 7 2" xfId="1693"/>
    <cellStyle name="20% - Accent6 3 7 2 2" xfId="10696"/>
    <cellStyle name="20% - Accent6 3 7 2 2 2" xfId="18512"/>
    <cellStyle name="20% - Accent6 3 7 2 3" xfId="14625"/>
    <cellStyle name="20% - Accent6 3 7 3" xfId="10695"/>
    <cellStyle name="20% - Accent6 3 7 3 2" xfId="18511"/>
    <cellStyle name="20% - Accent6 3 7 4" xfId="14624"/>
    <cellStyle name="20% - Accent6 3 8" xfId="1694"/>
    <cellStyle name="20% - Accent6 3 8 2" xfId="10697"/>
    <cellStyle name="20% - Accent6 3 8 2 2" xfId="18513"/>
    <cellStyle name="20% - Accent6 3 8 3" xfId="14626"/>
    <cellStyle name="20% - Accent6 3 9" xfId="1695"/>
    <cellStyle name="20% - Accent6 3 9 2" xfId="10698"/>
    <cellStyle name="20% - Accent6 3 9 2 2" xfId="18514"/>
    <cellStyle name="20% - Accent6 3 9 3" xfId="14627"/>
    <cellStyle name="20% - Accent6 4" xfId="1696"/>
    <cellStyle name="20% - Accent6 4 2" xfId="1697"/>
    <cellStyle name="20% - Accent6 4 2 2" xfId="1698"/>
    <cellStyle name="20% - Accent6 4 2 2 2" xfId="1699"/>
    <cellStyle name="20% - Accent6 4 2 2 2 2" xfId="1700"/>
    <cellStyle name="20% - Accent6 4 2 2 2 2 2" xfId="10703"/>
    <cellStyle name="20% - Accent6 4 2 2 2 2 2 2" xfId="18519"/>
    <cellStyle name="20% - Accent6 4 2 2 2 2 3" xfId="14632"/>
    <cellStyle name="20% - Accent6 4 2 2 2 3" xfId="10702"/>
    <cellStyle name="20% - Accent6 4 2 2 2 3 2" xfId="18518"/>
    <cellStyle name="20% - Accent6 4 2 2 2 4" xfId="14631"/>
    <cellStyle name="20% - Accent6 4 2 2 3" xfId="1701"/>
    <cellStyle name="20% - Accent6 4 2 2 3 2" xfId="1702"/>
    <cellStyle name="20% - Accent6 4 2 2 3 2 2" xfId="10705"/>
    <cellStyle name="20% - Accent6 4 2 2 3 2 2 2" xfId="18521"/>
    <cellStyle name="20% - Accent6 4 2 2 3 2 3" xfId="14634"/>
    <cellStyle name="20% - Accent6 4 2 2 3 3" xfId="10704"/>
    <cellStyle name="20% - Accent6 4 2 2 3 3 2" xfId="18520"/>
    <cellStyle name="20% - Accent6 4 2 2 3 4" xfId="14633"/>
    <cellStyle name="20% - Accent6 4 2 2 4" xfId="1703"/>
    <cellStyle name="20% - Accent6 4 2 2 4 2" xfId="10706"/>
    <cellStyle name="20% - Accent6 4 2 2 4 2 2" xfId="18522"/>
    <cellStyle name="20% - Accent6 4 2 2 4 3" xfId="14635"/>
    <cellStyle name="20% - Accent6 4 2 2 5" xfId="10701"/>
    <cellStyle name="20% - Accent6 4 2 2 5 2" xfId="18517"/>
    <cellStyle name="20% - Accent6 4 2 2 6" xfId="14630"/>
    <cellStyle name="20% - Accent6 4 2 3" xfId="1704"/>
    <cellStyle name="20% - Accent6 4 2 3 2" xfId="1705"/>
    <cellStyle name="20% - Accent6 4 2 3 2 2" xfId="1706"/>
    <cellStyle name="20% - Accent6 4 2 3 2 2 2" xfId="10709"/>
    <cellStyle name="20% - Accent6 4 2 3 2 2 2 2" xfId="18525"/>
    <cellStyle name="20% - Accent6 4 2 3 2 2 3" xfId="14638"/>
    <cellStyle name="20% - Accent6 4 2 3 2 3" xfId="10708"/>
    <cellStyle name="20% - Accent6 4 2 3 2 3 2" xfId="18524"/>
    <cellStyle name="20% - Accent6 4 2 3 2 4" xfId="14637"/>
    <cellStyle name="20% - Accent6 4 2 3 3" xfId="1707"/>
    <cellStyle name="20% - Accent6 4 2 3 3 2" xfId="10710"/>
    <cellStyle name="20% - Accent6 4 2 3 3 2 2" xfId="18526"/>
    <cellStyle name="20% - Accent6 4 2 3 3 3" xfId="14639"/>
    <cellStyle name="20% - Accent6 4 2 3 4" xfId="10707"/>
    <cellStyle name="20% - Accent6 4 2 3 4 2" xfId="18523"/>
    <cellStyle name="20% - Accent6 4 2 3 5" xfId="14636"/>
    <cellStyle name="20% - Accent6 4 2 4" xfId="1708"/>
    <cellStyle name="20% - Accent6 4 2 4 2" xfId="1709"/>
    <cellStyle name="20% - Accent6 4 2 4 2 2" xfId="10712"/>
    <cellStyle name="20% - Accent6 4 2 4 2 2 2" xfId="18528"/>
    <cellStyle name="20% - Accent6 4 2 4 2 3" xfId="14641"/>
    <cellStyle name="20% - Accent6 4 2 4 3" xfId="10711"/>
    <cellStyle name="20% - Accent6 4 2 4 3 2" xfId="18527"/>
    <cellStyle name="20% - Accent6 4 2 4 4" xfId="14640"/>
    <cellStyle name="20% - Accent6 4 2 5" xfId="1710"/>
    <cellStyle name="20% - Accent6 4 2 5 2" xfId="10713"/>
    <cellStyle name="20% - Accent6 4 2 5 2 2" xfId="18529"/>
    <cellStyle name="20% - Accent6 4 2 5 3" xfId="14642"/>
    <cellStyle name="20% - Accent6 4 2 6" xfId="10700"/>
    <cellStyle name="20% - Accent6 4 2 6 2" xfId="18516"/>
    <cellStyle name="20% - Accent6 4 2 7" xfId="14629"/>
    <cellStyle name="20% - Accent6 4 3" xfId="1711"/>
    <cellStyle name="20% - Accent6 4 3 2" xfId="1712"/>
    <cellStyle name="20% - Accent6 4 3 2 2" xfId="1713"/>
    <cellStyle name="20% - Accent6 4 3 2 2 2" xfId="1714"/>
    <cellStyle name="20% - Accent6 4 3 2 2 2 2" xfId="10717"/>
    <cellStyle name="20% - Accent6 4 3 2 2 2 2 2" xfId="18533"/>
    <cellStyle name="20% - Accent6 4 3 2 2 2 3" xfId="14646"/>
    <cellStyle name="20% - Accent6 4 3 2 2 3" xfId="10716"/>
    <cellStyle name="20% - Accent6 4 3 2 2 3 2" xfId="18532"/>
    <cellStyle name="20% - Accent6 4 3 2 2 4" xfId="14645"/>
    <cellStyle name="20% - Accent6 4 3 2 3" xfId="1715"/>
    <cellStyle name="20% - Accent6 4 3 2 3 2" xfId="10718"/>
    <cellStyle name="20% - Accent6 4 3 2 3 2 2" xfId="18534"/>
    <cellStyle name="20% - Accent6 4 3 2 3 3" xfId="14647"/>
    <cellStyle name="20% - Accent6 4 3 2 4" xfId="10715"/>
    <cellStyle name="20% - Accent6 4 3 2 4 2" xfId="18531"/>
    <cellStyle name="20% - Accent6 4 3 2 5" xfId="14644"/>
    <cellStyle name="20% - Accent6 4 3 3" xfId="1716"/>
    <cellStyle name="20% - Accent6 4 3 3 2" xfId="1717"/>
    <cellStyle name="20% - Accent6 4 3 3 2 2" xfId="10720"/>
    <cellStyle name="20% - Accent6 4 3 3 2 2 2" xfId="18536"/>
    <cellStyle name="20% - Accent6 4 3 3 2 3" xfId="14649"/>
    <cellStyle name="20% - Accent6 4 3 3 3" xfId="10719"/>
    <cellStyle name="20% - Accent6 4 3 3 3 2" xfId="18535"/>
    <cellStyle name="20% - Accent6 4 3 3 4" xfId="14648"/>
    <cellStyle name="20% - Accent6 4 3 4" xfId="1718"/>
    <cellStyle name="20% - Accent6 4 3 4 2" xfId="1719"/>
    <cellStyle name="20% - Accent6 4 3 4 2 2" xfId="10722"/>
    <cellStyle name="20% - Accent6 4 3 4 2 2 2" xfId="18538"/>
    <cellStyle name="20% - Accent6 4 3 4 2 3" xfId="14651"/>
    <cellStyle name="20% - Accent6 4 3 4 3" xfId="10721"/>
    <cellStyle name="20% - Accent6 4 3 4 3 2" xfId="18537"/>
    <cellStyle name="20% - Accent6 4 3 4 4" xfId="14650"/>
    <cellStyle name="20% - Accent6 4 3 5" xfId="1720"/>
    <cellStyle name="20% - Accent6 4 3 5 2" xfId="10723"/>
    <cellStyle name="20% - Accent6 4 3 5 2 2" xfId="18539"/>
    <cellStyle name="20% - Accent6 4 3 5 3" xfId="14652"/>
    <cellStyle name="20% - Accent6 4 3 6" xfId="10714"/>
    <cellStyle name="20% - Accent6 4 3 6 2" xfId="18530"/>
    <cellStyle name="20% - Accent6 4 3 7" xfId="14643"/>
    <cellStyle name="20% - Accent6 4 4" xfId="1721"/>
    <cellStyle name="20% - Accent6 4 4 2" xfId="1722"/>
    <cellStyle name="20% - Accent6 4 4 2 2" xfId="1723"/>
    <cellStyle name="20% - Accent6 4 4 2 2 2" xfId="10726"/>
    <cellStyle name="20% - Accent6 4 4 2 2 2 2" xfId="18542"/>
    <cellStyle name="20% - Accent6 4 4 2 2 3" xfId="14655"/>
    <cellStyle name="20% - Accent6 4 4 2 3" xfId="10725"/>
    <cellStyle name="20% - Accent6 4 4 2 3 2" xfId="18541"/>
    <cellStyle name="20% - Accent6 4 4 2 4" xfId="14654"/>
    <cellStyle name="20% - Accent6 4 4 3" xfId="1724"/>
    <cellStyle name="20% - Accent6 4 4 3 2" xfId="10727"/>
    <cellStyle name="20% - Accent6 4 4 3 2 2" xfId="18543"/>
    <cellStyle name="20% - Accent6 4 4 3 3" xfId="14656"/>
    <cellStyle name="20% - Accent6 4 4 4" xfId="10724"/>
    <cellStyle name="20% - Accent6 4 4 4 2" xfId="18540"/>
    <cellStyle name="20% - Accent6 4 4 5" xfId="14653"/>
    <cellStyle name="20% - Accent6 4 5" xfId="1725"/>
    <cellStyle name="20% - Accent6 4 5 2" xfId="1726"/>
    <cellStyle name="20% - Accent6 4 5 2 2" xfId="10729"/>
    <cellStyle name="20% - Accent6 4 5 2 2 2" xfId="18545"/>
    <cellStyle name="20% - Accent6 4 5 2 3" xfId="14658"/>
    <cellStyle name="20% - Accent6 4 5 3" xfId="10728"/>
    <cellStyle name="20% - Accent6 4 5 3 2" xfId="18544"/>
    <cellStyle name="20% - Accent6 4 5 4" xfId="14657"/>
    <cellStyle name="20% - Accent6 4 6" xfId="1727"/>
    <cellStyle name="20% - Accent6 4 6 2" xfId="10730"/>
    <cellStyle name="20% - Accent6 4 6 2 2" xfId="18546"/>
    <cellStyle name="20% - Accent6 4 6 3" xfId="14659"/>
    <cellStyle name="20% - Accent6 4 7" xfId="10699"/>
    <cellStyle name="20% - Accent6 4 7 2" xfId="18515"/>
    <cellStyle name="20% - Accent6 4 8" xfId="14628"/>
    <cellStyle name="20% - Accent6 5" xfId="1728"/>
    <cellStyle name="20% - Accent6 5 2" xfId="1729"/>
    <cellStyle name="20% - Accent6 5 2 2" xfId="1730"/>
    <cellStyle name="20% - Accent6 5 2 2 2" xfId="1731"/>
    <cellStyle name="20% - Accent6 5 2 2 2 2" xfId="10734"/>
    <cellStyle name="20% - Accent6 5 2 2 2 2 2" xfId="18550"/>
    <cellStyle name="20% - Accent6 5 2 2 2 3" xfId="14663"/>
    <cellStyle name="20% - Accent6 5 2 2 3" xfId="10733"/>
    <cellStyle name="20% - Accent6 5 2 2 3 2" xfId="18549"/>
    <cellStyle name="20% - Accent6 5 2 2 4" xfId="14662"/>
    <cellStyle name="20% - Accent6 5 2 3" xfId="1732"/>
    <cellStyle name="20% - Accent6 5 2 3 2" xfId="1733"/>
    <cellStyle name="20% - Accent6 5 2 3 2 2" xfId="10736"/>
    <cellStyle name="20% - Accent6 5 2 3 2 2 2" xfId="18552"/>
    <cellStyle name="20% - Accent6 5 2 3 2 3" xfId="14665"/>
    <cellStyle name="20% - Accent6 5 2 3 3" xfId="10735"/>
    <cellStyle name="20% - Accent6 5 2 3 3 2" xfId="18551"/>
    <cellStyle name="20% - Accent6 5 2 3 4" xfId="14664"/>
    <cellStyle name="20% - Accent6 5 2 4" xfId="1734"/>
    <cellStyle name="20% - Accent6 5 2 4 2" xfId="10737"/>
    <cellStyle name="20% - Accent6 5 2 4 2 2" xfId="18553"/>
    <cellStyle name="20% - Accent6 5 2 4 3" xfId="14666"/>
    <cellStyle name="20% - Accent6 5 2 5" xfId="10732"/>
    <cellStyle name="20% - Accent6 5 2 5 2" xfId="18548"/>
    <cellStyle name="20% - Accent6 5 2 6" xfId="14661"/>
    <cellStyle name="20% - Accent6 5 3" xfId="1735"/>
    <cellStyle name="20% - Accent6 5 3 2" xfId="1736"/>
    <cellStyle name="20% - Accent6 5 3 2 2" xfId="1737"/>
    <cellStyle name="20% - Accent6 5 3 2 2 2" xfId="10740"/>
    <cellStyle name="20% - Accent6 5 3 2 2 2 2" xfId="18556"/>
    <cellStyle name="20% - Accent6 5 3 2 2 3" xfId="14669"/>
    <cellStyle name="20% - Accent6 5 3 2 3" xfId="10739"/>
    <cellStyle name="20% - Accent6 5 3 2 3 2" xfId="18555"/>
    <cellStyle name="20% - Accent6 5 3 2 4" xfId="14668"/>
    <cellStyle name="20% - Accent6 5 3 3" xfId="1738"/>
    <cellStyle name="20% - Accent6 5 3 3 2" xfId="10741"/>
    <cellStyle name="20% - Accent6 5 3 3 2 2" xfId="18557"/>
    <cellStyle name="20% - Accent6 5 3 3 3" xfId="14670"/>
    <cellStyle name="20% - Accent6 5 3 4" xfId="10738"/>
    <cellStyle name="20% - Accent6 5 3 4 2" xfId="18554"/>
    <cellStyle name="20% - Accent6 5 3 5" xfId="14667"/>
    <cellStyle name="20% - Accent6 5 4" xfId="1739"/>
    <cellStyle name="20% - Accent6 5 4 2" xfId="1740"/>
    <cellStyle name="20% - Accent6 5 4 2 2" xfId="10743"/>
    <cellStyle name="20% - Accent6 5 4 2 2 2" xfId="18559"/>
    <cellStyle name="20% - Accent6 5 4 2 3" xfId="14672"/>
    <cellStyle name="20% - Accent6 5 4 3" xfId="10742"/>
    <cellStyle name="20% - Accent6 5 4 3 2" xfId="18558"/>
    <cellStyle name="20% - Accent6 5 4 4" xfId="14671"/>
    <cellStyle name="20% - Accent6 5 5" xfId="1741"/>
    <cellStyle name="20% - Accent6 5 5 2" xfId="10744"/>
    <cellStyle name="20% - Accent6 5 5 2 2" xfId="18560"/>
    <cellStyle name="20% - Accent6 5 5 3" xfId="14673"/>
    <cellStyle name="20% - Accent6 5 6" xfId="10731"/>
    <cellStyle name="20% - Accent6 5 6 2" xfId="18547"/>
    <cellStyle name="20% - Accent6 5 7" xfId="14660"/>
    <cellStyle name="20% - Accent6 6" xfId="1742"/>
    <cellStyle name="20% - Accent6 6 2" xfId="1743"/>
    <cellStyle name="20% - Accent6 6 2 2" xfId="1744"/>
    <cellStyle name="20% - Accent6 6 2 2 2" xfId="1745"/>
    <cellStyle name="20% - Accent6 6 2 2 2 2" xfId="10748"/>
    <cellStyle name="20% - Accent6 6 2 2 2 2 2" xfId="18564"/>
    <cellStyle name="20% - Accent6 6 2 2 2 3" xfId="14677"/>
    <cellStyle name="20% - Accent6 6 2 2 3" xfId="10747"/>
    <cellStyle name="20% - Accent6 6 2 2 3 2" xfId="18563"/>
    <cellStyle name="20% - Accent6 6 2 2 4" xfId="14676"/>
    <cellStyle name="20% - Accent6 6 2 3" xfId="1746"/>
    <cellStyle name="20% - Accent6 6 2 3 2" xfId="10749"/>
    <cellStyle name="20% - Accent6 6 2 3 2 2" xfId="18565"/>
    <cellStyle name="20% - Accent6 6 2 3 3" xfId="14678"/>
    <cellStyle name="20% - Accent6 6 2 4" xfId="10746"/>
    <cellStyle name="20% - Accent6 6 2 4 2" xfId="18562"/>
    <cellStyle name="20% - Accent6 6 2 5" xfId="14675"/>
    <cellStyle name="20% - Accent6 6 3" xfId="1747"/>
    <cellStyle name="20% - Accent6 6 3 2" xfId="1748"/>
    <cellStyle name="20% - Accent6 6 3 2 2" xfId="10751"/>
    <cellStyle name="20% - Accent6 6 3 2 2 2" xfId="18567"/>
    <cellStyle name="20% - Accent6 6 3 2 3" xfId="14680"/>
    <cellStyle name="20% - Accent6 6 3 3" xfId="10750"/>
    <cellStyle name="20% - Accent6 6 3 3 2" xfId="18566"/>
    <cellStyle name="20% - Accent6 6 3 4" xfId="14679"/>
    <cellStyle name="20% - Accent6 6 4" xfId="1749"/>
    <cellStyle name="20% - Accent6 6 4 2" xfId="10752"/>
    <cellStyle name="20% - Accent6 6 4 2 2" xfId="18568"/>
    <cellStyle name="20% - Accent6 6 4 3" xfId="14681"/>
    <cellStyle name="20% - Accent6 6 5" xfId="10745"/>
    <cellStyle name="20% - Accent6 6 5 2" xfId="18561"/>
    <cellStyle name="20% - Accent6 6 6" xfId="14674"/>
    <cellStyle name="20% - Accent6 7" xfId="1750"/>
    <cellStyle name="20% - Accent6 7 2" xfId="1751"/>
    <cellStyle name="20% - Accent6 7 2 2" xfId="1752"/>
    <cellStyle name="20% - Accent6 7 2 2 2" xfId="1753"/>
    <cellStyle name="20% - Accent6 7 2 2 2 2" xfId="10756"/>
    <cellStyle name="20% - Accent6 7 2 2 2 2 2" xfId="18572"/>
    <cellStyle name="20% - Accent6 7 2 2 2 3" xfId="14685"/>
    <cellStyle name="20% - Accent6 7 2 2 3" xfId="10755"/>
    <cellStyle name="20% - Accent6 7 2 2 3 2" xfId="18571"/>
    <cellStyle name="20% - Accent6 7 2 2 4" xfId="14684"/>
    <cellStyle name="20% - Accent6 7 2 3" xfId="1754"/>
    <cellStyle name="20% - Accent6 7 2 3 2" xfId="10757"/>
    <cellStyle name="20% - Accent6 7 2 3 2 2" xfId="18573"/>
    <cellStyle name="20% - Accent6 7 2 3 3" xfId="14686"/>
    <cellStyle name="20% - Accent6 7 2 4" xfId="10754"/>
    <cellStyle name="20% - Accent6 7 2 4 2" xfId="18570"/>
    <cellStyle name="20% - Accent6 7 2 5" xfId="14683"/>
    <cellStyle name="20% - Accent6 7 3" xfId="1755"/>
    <cellStyle name="20% - Accent6 7 3 2" xfId="1756"/>
    <cellStyle name="20% - Accent6 7 3 2 2" xfId="10759"/>
    <cellStyle name="20% - Accent6 7 3 2 2 2" xfId="18575"/>
    <cellStyle name="20% - Accent6 7 3 2 3" xfId="14688"/>
    <cellStyle name="20% - Accent6 7 3 3" xfId="10758"/>
    <cellStyle name="20% - Accent6 7 3 3 2" xfId="18574"/>
    <cellStyle name="20% - Accent6 7 3 4" xfId="14687"/>
    <cellStyle name="20% - Accent6 7 4" xfId="1757"/>
    <cellStyle name="20% - Accent6 7 4 2" xfId="10760"/>
    <cellStyle name="20% - Accent6 7 4 2 2" xfId="18576"/>
    <cellStyle name="20% - Accent6 7 4 3" xfId="14689"/>
    <cellStyle name="20% - Accent6 7 5" xfId="10753"/>
    <cellStyle name="20% - Accent6 7 5 2" xfId="18569"/>
    <cellStyle name="20% - Accent6 7 6" xfId="14682"/>
    <cellStyle name="20% - Accent6 8" xfId="1758"/>
    <cellStyle name="20% - Accent6 8 2" xfId="1759"/>
    <cellStyle name="20% - Accent6 8 2 2" xfId="1760"/>
    <cellStyle name="20% - Accent6 8 2 2 2" xfId="10763"/>
    <cellStyle name="20% - Accent6 8 2 2 2 2" xfId="18579"/>
    <cellStyle name="20% - Accent6 8 2 2 3" xfId="14692"/>
    <cellStyle name="20% - Accent6 8 2 3" xfId="10762"/>
    <cellStyle name="20% - Accent6 8 2 3 2" xfId="18578"/>
    <cellStyle name="20% - Accent6 8 2 4" xfId="14691"/>
    <cellStyle name="20% - Accent6 8 3" xfId="1761"/>
    <cellStyle name="20% - Accent6 8 3 2" xfId="10764"/>
    <cellStyle name="20% - Accent6 8 3 2 2" xfId="18580"/>
    <cellStyle name="20% - Accent6 8 3 3" xfId="14693"/>
    <cellStyle name="20% - Accent6 8 4" xfId="10761"/>
    <cellStyle name="20% - Accent6 8 4 2" xfId="18577"/>
    <cellStyle name="20% - Accent6 8 5" xfId="14690"/>
    <cellStyle name="20% - Accent6 9" xfId="1762"/>
    <cellStyle name="20% - Accent6 9 2" xfId="1763"/>
    <cellStyle name="20% - Accent6 9 2 2" xfId="10766"/>
    <cellStyle name="20% - Accent6 9 2 2 2" xfId="18582"/>
    <cellStyle name="20% - Accent6 9 2 3" xfId="14695"/>
    <cellStyle name="20% - Accent6 9 3" xfId="10765"/>
    <cellStyle name="20% - Accent6 9 3 2" xfId="18581"/>
    <cellStyle name="20% - Accent6 9 4" xfId="14694"/>
    <cellStyle name="40% - Accent1 10" xfId="1764"/>
    <cellStyle name="40% - Accent1 10 2" xfId="1765"/>
    <cellStyle name="40% - Accent1 10 2 2" xfId="10768"/>
    <cellStyle name="40% - Accent1 10 2 2 2" xfId="18584"/>
    <cellStyle name="40% - Accent1 10 2 3" xfId="14697"/>
    <cellStyle name="40% - Accent1 10 3" xfId="10767"/>
    <cellStyle name="40% - Accent1 10 3 2" xfId="18583"/>
    <cellStyle name="40% - Accent1 10 4" xfId="14696"/>
    <cellStyle name="40% - Accent1 11" xfId="1766"/>
    <cellStyle name="40% - Accent1 11 2" xfId="10769"/>
    <cellStyle name="40% - Accent1 11 2 2" xfId="18585"/>
    <cellStyle name="40% - Accent1 11 3" xfId="14698"/>
    <cellStyle name="40% - Accent1 12" xfId="1767"/>
    <cellStyle name="40% - Accent1 12 2" xfId="10770"/>
    <cellStyle name="40% - Accent1 12 2 2" xfId="18586"/>
    <cellStyle name="40% - Accent1 12 3" xfId="14699"/>
    <cellStyle name="40% - Accent1 2" xfId="1768"/>
    <cellStyle name="40% - Accent1 2 10" xfId="1769"/>
    <cellStyle name="40% - Accent1 2 10 2" xfId="10772"/>
    <cellStyle name="40% - Accent1 2 10 2 2" xfId="18588"/>
    <cellStyle name="40% - Accent1 2 10 3" xfId="14701"/>
    <cellStyle name="40% - Accent1 2 11" xfId="10771"/>
    <cellStyle name="40% - Accent1 2 11 2" xfId="18587"/>
    <cellStyle name="40% - Accent1 2 12" xfId="12936"/>
    <cellStyle name="40% - Accent1 2 13" xfId="14700"/>
    <cellStyle name="40% - Accent1 2 2" xfId="1770"/>
    <cellStyle name="40% - Accent1 2 2 10" xfId="14702"/>
    <cellStyle name="40% - Accent1 2 2 2" xfId="1771"/>
    <cellStyle name="40% - Accent1 2 2 2 2" xfId="1772"/>
    <cellStyle name="40% - Accent1 2 2 2 2 2" xfId="1773"/>
    <cellStyle name="40% - Accent1 2 2 2 2 2 2" xfId="1774"/>
    <cellStyle name="40% - Accent1 2 2 2 2 2 2 2" xfId="1775"/>
    <cellStyle name="40% - Accent1 2 2 2 2 2 2 2 2" xfId="10778"/>
    <cellStyle name="40% - Accent1 2 2 2 2 2 2 2 2 2" xfId="18594"/>
    <cellStyle name="40% - Accent1 2 2 2 2 2 2 2 3" xfId="14707"/>
    <cellStyle name="40% - Accent1 2 2 2 2 2 2 3" xfId="10777"/>
    <cellStyle name="40% - Accent1 2 2 2 2 2 2 3 2" xfId="18593"/>
    <cellStyle name="40% - Accent1 2 2 2 2 2 2 4" xfId="14706"/>
    <cellStyle name="40% - Accent1 2 2 2 2 2 3" xfId="1776"/>
    <cellStyle name="40% - Accent1 2 2 2 2 2 3 2" xfId="1777"/>
    <cellStyle name="40% - Accent1 2 2 2 2 2 3 2 2" xfId="10780"/>
    <cellStyle name="40% - Accent1 2 2 2 2 2 3 2 2 2" xfId="18596"/>
    <cellStyle name="40% - Accent1 2 2 2 2 2 3 2 3" xfId="14709"/>
    <cellStyle name="40% - Accent1 2 2 2 2 2 3 3" xfId="10779"/>
    <cellStyle name="40% - Accent1 2 2 2 2 2 3 3 2" xfId="18595"/>
    <cellStyle name="40% - Accent1 2 2 2 2 2 3 4" xfId="14708"/>
    <cellStyle name="40% - Accent1 2 2 2 2 2 4" xfId="1778"/>
    <cellStyle name="40% - Accent1 2 2 2 2 2 4 2" xfId="10781"/>
    <cellStyle name="40% - Accent1 2 2 2 2 2 4 2 2" xfId="18597"/>
    <cellStyle name="40% - Accent1 2 2 2 2 2 4 3" xfId="14710"/>
    <cellStyle name="40% - Accent1 2 2 2 2 2 5" xfId="10776"/>
    <cellStyle name="40% - Accent1 2 2 2 2 2 5 2" xfId="18592"/>
    <cellStyle name="40% - Accent1 2 2 2 2 2 6" xfId="14705"/>
    <cellStyle name="40% - Accent1 2 2 2 2 3" xfId="1779"/>
    <cellStyle name="40% - Accent1 2 2 2 2 3 2" xfId="1780"/>
    <cellStyle name="40% - Accent1 2 2 2 2 3 2 2" xfId="1781"/>
    <cellStyle name="40% - Accent1 2 2 2 2 3 2 2 2" xfId="10784"/>
    <cellStyle name="40% - Accent1 2 2 2 2 3 2 2 2 2" xfId="18600"/>
    <cellStyle name="40% - Accent1 2 2 2 2 3 2 2 3" xfId="14713"/>
    <cellStyle name="40% - Accent1 2 2 2 2 3 2 3" xfId="10783"/>
    <cellStyle name="40% - Accent1 2 2 2 2 3 2 3 2" xfId="18599"/>
    <cellStyle name="40% - Accent1 2 2 2 2 3 2 4" xfId="14712"/>
    <cellStyle name="40% - Accent1 2 2 2 2 3 3" xfId="1782"/>
    <cellStyle name="40% - Accent1 2 2 2 2 3 3 2" xfId="10785"/>
    <cellStyle name="40% - Accent1 2 2 2 2 3 3 2 2" xfId="18601"/>
    <cellStyle name="40% - Accent1 2 2 2 2 3 3 3" xfId="14714"/>
    <cellStyle name="40% - Accent1 2 2 2 2 3 4" xfId="10782"/>
    <cellStyle name="40% - Accent1 2 2 2 2 3 4 2" xfId="18598"/>
    <cellStyle name="40% - Accent1 2 2 2 2 3 5" xfId="14711"/>
    <cellStyle name="40% - Accent1 2 2 2 2 4" xfId="1783"/>
    <cellStyle name="40% - Accent1 2 2 2 2 4 2" xfId="1784"/>
    <cellStyle name="40% - Accent1 2 2 2 2 4 2 2" xfId="10787"/>
    <cellStyle name="40% - Accent1 2 2 2 2 4 2 2 2" xfId="18603"/>
    <cellStyle name="40% - Accent1 2 2 2 2 4 2 3" xfId="14716"/>
    <cellStyle name="40% - Accent1 2 2 2 2 4 3" xfId="10786"/>
    <cellStyle name="40% - Accent1 2 2 2 2 4 3 2" xfId="18602"/>
    <cellStyle name="40% - Accent1 2 2 2 2 4 4" xfId="14715"/>
    <cellStyle name="40% - Accent1 2 2 2 2 5" xfId="1785"/>
    <cellStyle name="40% - Accent1 2 2 2 2 5 2" xfId="10788"/>
    <cellStyle name="40% - Accent1 2 2 2 2 5 2 2" xfId="18604"/>
    <cellStyle name="40% - Accent1 2 2 2 2 5 3" xfId="14717"/>
    <cellStyle name="40% - Accent1 2 2 2 2 6" xfId="10775"/>
    <cellStyle name="40% - Accent1 2 2 2 2 6 2" xfId="18591"/>
    <cellStyle name="40% - Accent1 2 2 2 2 7" xfId="14704"/>
    <cellStyle name="40% - Accent1 2 2 2 3" xfId="1786"/>
    <cellStyle name="40% - Accent1 2 2 2 3 2" xfId="1787"/>
    <cellStyle name="40% - Accent1 2 2 2 3 2 2" xfId="1788"/>
    <cellStyle name="40% - Accent1 2 2 2 3 2 2 2" xfId="1789"/>
    <cellStyle name="40% - Accent1 2 2 2 3 2 2 2 2" xfId="10792"/>
    <cellStyle name="40% - Accent1 2 2 2 3 2 2 2 2 2" xfId="18608"/>
    <cellStyle name="40% - Accent1 2 2 2 3 2 2 2 3" xfId="14721"/>
    <cellStyle name="40% - Accent1 2 2 2 3 2 2 3" xfId="10791"/>
    <cellStyle name="40% - Accent1 2 2 2 3 2 2 3 2" xfId="18607"/>
    <cellStyle name="40% - Accent1 2 2 2 3 2 2 4" xfId="14720"/>
    <cellStyle name="40% - Accent1 2 2 2 3 2 3" xfId="1790"/>
    <cellStyle name="40% - Accent1 2 2 2 3 2 3 2" xfId="10793"/>
    <cellStyle name="40% - Accent1 2 2 2 3 2 3 2 2" xfId="18609"/>
    <cellStyle name="40% - Accent1 2 2 2 3 2 3 3" xfId="14722"/>
    <cellStyle name="40% - Accent1 2 2 2 3 2 4" xfId="10790"/>
    <cellStyle name="40% - Accent1 2 2 2 3 2 4 2" xfId="18606"/>
    <cellStyle name="40% - Accent1 2 2 2 3 2 5" xfId="14719"/>
    <cellStyle name="40% - Accent1 2 2 2 3 3" xfId="1791"/>
    <cellStyle name="40% - Accent1 2 2 2 3 3 2" xfId="1792"/>
    <cellStyle name="40% - Accent1 2 2 2 3 3 2 2" xfId="10795"/>
    <cellStyle name="40% - Accent1 2 2 2 3 3 2 2 2" xfId="18611"/>
    <cellStyle name="40% - Accent1 2 2 2 3 3 2 3" xfId="14724"/>
    <cellStyle name="40% - Accent1 2 2 2 3 3 3" xfId="10794"/>
    <cellStyle name="40% - Accent1 2 2 2 3 3 3 2" xfId="18610"/>
    <cellStyle name="40% - Accent1 2 2 2 3 3 4" xfId="14723"/>
    <cellStyle name="40% - Accent1 2 2 2 3 4" xfId="1793"/>
    <cellStyle name="40% - Accent1 2 2 2 3 4 2" xfId="1794"/>
    <cellStyle name="40% - Accent1 2 2 2 3 4 2 2" xfId="10797"/>
    <cellStyle name="40% - Accent1 2 2 2 3 4 2 2 2" xfId="18613"/>
    <cellStyle name="40% - Accent1 2 2 2 3 4 2 3" xfId="14726"/>
    <cellStyle name="40% - Accent1 2 2 2 3 4 3" xfId="10796"/>
    <cellStyle name="40% - Accent1 2 2 2 3 4 3 2" xfId="18612"/>
    <cellStyle name="40% - Accent1 2 2 2 3 4 4" xfId="14725"/>
    <cellStyle name="40% - Accent1 2 2 2 3 5" xfId="1795"/>
    <cellStyle name="40% - Accent1 2 2 2 3 5 2" xfId="10798"/>
    <cellStyle name="40% - Accent1 2 2 2 3 5 2 2" xfId="18614"/>
    <cellStyle name="40% - Accent1 2 2 2 3 5 3" xfId="14727"/>
    <cellStyle name="40% - Accent1 2 2 2 3 6" xfId="10789"/>
    <cellStyle name="40% - Accent1 2 2 2 3 6 2" xfId="18605"/>
    <cellStyle name="40% - Accent1 2 2 2 3 7" xfId="14718"/>
    <cellStyle name="40% - Accent1 2 2 2 4" xfId="1796"/>
    <cellStyle name="40% - Accent1 2 2 2 4 2" xfId="1797"/>
    <cellStyle name="40% - Accent1 2 2 2 4 2 2" xfId="1798"/>
    <cellStyle name="40% - Accent1 2 2 2 4 2 2 2" xfId="10801"/>
    <cellStyle name="40% - Accent1 2 2 2 4 2 2 2 2" xfId="18617"/>
    <cellStyle name="40% - Accent1 2 2 2 4 2 2 3" xfId="14730"/>
    <cellStyle name="40% - Accent1 2 2 2 4 2 3" xfId="10800"/>
    <cellStyle name="40% - Accent1 2 2 2 4 2 3 2" xfId="18616"/>
    <cellStyle name="40% - Accent1 2 2 2 4 2 4" xfId="14729"/>
    <cellStyle name="40% - Accent1 2 2 2 4 3" xfId="1799"/>
    <cellStyle name="40% - Accent1 2 2 2 4 3 2" xfId="10802"/>
    <cellStyle name="40% - Accent1 2 2 2 4 3 2 2" xfId="18618"/>
    <cellStyle name="40% - Accent1 2 2 2 4 3 3" xfId="14731"/>
    <cellStyle name="40% - Accent1 2 2 2 4 4" xfId="10799"/>
    <cellStyle name="40% - Accent1 2 2 2 4 4 2" xfId="18615"/>
    <cellStyle name="40% - Accent1 2 2 2 4 5" xfId="14728"/>
    <cellStyle name="40% - Accent1 2 2 2 5" xfId="1800"/>
    <cellStyle name="40% - Accent1 2 2 2 5 2" xfId="1801"/>
    <cellStyle name="40% - Accent1 2 2 2 5 2 2" xfId="10804"/>
    <cellStyle name="40% - Accent1 2 2 2 5 2 2 2" xfId="18620"/>
    <cellStyle name="40% - Accent1 2 2 2 5 2 3" xfId="14733"/>
    <cellStyle name="40% - Accent1 2 2 2 5 3" xfId="10803"/>
    <cellStyle name="40% - Accent1 2 2 2 5 3 2" xfId="18619"/>
    <cellStyle name="40% - Accent1 2 2 2 5 4" xfId="14732"/>
    <cellStyle name="40% - Accent1 2 2 2 6" xfId="1802"/>
    <cellStyle name="40% - Accent1 2 2 2 6 2" xfId="10805"/>
    <cellStyle name="40% - Accent1 2 2 2 6 2 2" xfId="18621"/>
    <cellStyle name="40% - Accent1 2 2 2 6 3" xfId="14734"/>
    <cellStyle name="40% - Accent1 2 2 2 7" xfId="10774"/>
    <cellStyle name="40% - Accent1 2 2 2 7 2" xfId="18590"/>
    <cellStyle name="40% - Accent1 2 2 2 8" xfId="14703"/>
    <cellStyle name="40% - Accent1 2 2 3" xfId="1803"/>
    <cellStyle name="40% - Accent1 2 2 3 2" xfId="1804"/>
    <cellStyle name="40% - Accent1 2 2 3 2 2" xfId="1805"/>
    <cellStyle name="40% - Accent1 2 2 3 2 2 2" xfId="1806"/>
    <cellStyle name="40% - Accent1 2 2 3 2 2 2 2" xfId="10809"/>
    <cellStyle name="40% - Accent1 2 2 3 2 2 2 2 2" xfId="18625"/>
    <cellStyle name="40% - Accent1 2 2 3 2 2 2 3" xfId="14738"/>
    <cellStyle name="40% - Accent1 2 2 3 2 2 3" xfId="10808"/>
    <cellStyle name="40% - Accent1 2 2 3 2 2 3 2" xfId="18624"/>
    <cellStyle name="40% - Accent1 2 2 3 2 2 4" xfId="14737"/>
    <cellStyle name="40% - Accent1 2 2 3 2 3" xfId="1807"/>
    <cellStyle name="40% - Accent1 2 2 3 2 3 2" xfId="1808"/>
    <cellStyle name="40% - Accent1 2 2 3 2 3 2 2" xfId="10811"/>
    <cellStyle name="40% - Accent1 2 2 3 2 3 2 2 2" xfId="18627"/>
    <cellStyle name="40% - Accent1 2 2 3 2 3 2 3" xfId="14740"/>
    <cellStyle name="40% - Accent1 2 2 3 2 3 3" xfId="10810"/>
    <cellStyle name="40% - Accent1 2 2 3 2 3 3 2" xfId="18626"/>
    <cellStyle name="40% - Accent1 2 2 3 2 3 4" xfId="14739"/>
    <cellStyle name="40% - Accent1 2 2 3 2 4" xfId="1809"/>
    <cellStyle name="40% - Accent1 2 2 3 2 4 2" xfId="10812"/>
    <cellStyle name="40% - Accent1 2 2 3 2 4 2 2" xfId="18628"/>
    <cellStyle name="40% - Accent1 2 2 3 2 4 3" xfId="14741"/>
    <cellStyle name="40% - Accent1 2 2 3 2 5" xfId="10807"/>
    <cellStyle name="40% - Accent1 2 2 3 2 5 2" xfId="18623"/>
    <cellStyle name="40% - Accent1 2 2 3 2 6" xfId="14736"/>
    <cellStyle name="40% - Accent1 2 2 3 3" xfId="1810"/>
    <cellStyle name="40% - Accent1 2 2 3 3 2" xfId="1811"/>
    <cellStyle name="40% - Accent1 2 2 3 3 2 2" xfId="1812"/>
    <cellStyle name="40% - Accent1 2 2 3 3 2 2 2" xfId="10815"/>
    <cellStyle name="40% - Accent1 2 2 3 3 2 2 2 2" xfId="18631"/>
    <cellStyle name="40% - Accent1 2 2 3 3 2 2 3" xfId="14744"/>
    <cellStyle name="40% - Accent1 2 2 3 3 2 3" xfId="10814"/>
    <cellStyle name="40% - Accent1 2 2 3 3 2 3 2" xfId="18630"/>
    <cellStyle name="40% - Accent1 2 2 3 3 2 4" xfId="14743"/>
    <cellStyle name="40% - Accent1 2 2 3 3 3" xfId="1813"/>
    <cellStyle name="40% - Accent1 2 2 3 3 3 2" xfId="10816"/>
    <cellStyle name="40% - Accent1 2 2 3 3 3 2 2" xfId="18632"/>
    <cellStyle name="40% - Accent1 2 2 3 3 3 3" xfId="14745"/>
    <cellStyle name="40% - Accent1 2 2 3 3 4" xfId="10813"/>
    <cellStyle name="40% - Accent1 2 2 3 3 4 2" xfId="18629"/>
    <cellStyle name="40% - Accent1 2 2 3 3 5" xfId="14742"/>
    <cellStyle name="40% - Accent1 2 2 3 4" xfId="1814"/>
    <cellStyle name="40% - Accent1 2 2 3 4 2" xfId="1815"/>
    <cellStyle name="40% - Accent1 2 2 3 4 2 2" xfId="10818"/>
    <cellStyle name="40% - Accent1 2 2 3 4 2 2 2" xfId="18634"/>
    <cellStyle name="40% - Accent1 2 2 3 4 2 3" xfId="14747"/>
    <cellStyle name="40% - Accent1 2 2 3 4 3" xfId="10817"/>
    <cellStyle name="40% - Accent1 2 2 3 4 3 2" xfId="18633"/>
    <cellStyle name="40% - Accent1 2 2 3 4 4" xfId="14746"/>
    <cellStyle name="40% - Accent1 2 2 3 5" xfId="1816"/>
    <cellStyle name="40% - Accent1 2 2 3 5 2" xfId="10819"/>
    <cellStyle name="40% - Accent1 2 2 3 5 2 2" xfId="18635"/>
    <cellStyle name="40% - Accent1 2 2 3 5 3" xfId="14748"/>
    <cellStyle name="40% - Accent1 2 2 3 6" xfId="10806"/>
    <cellStyle name="40% - Accent1 2 2 3 6 2" xfId="18622"/>
    <cellStyle name="40% - Accent1 2 2 3 7" xfId="14735"/>
    <cellStyle name="40% - Accent1 2 2 4" xfId="1817"/>
    <cellStyle name="40% - Accent1 2 2 4 2" xfId="1818"/>
    <cellStyle name="40% - Accent1 2 2 4 2 2" xfId="1819"/>
    <cellStyle name="40% - Accent1 2 2 4 2 2 2" xfId="1820"/>
    <cellStyle name="40% - Accent1 2 2 4 2 2 2 2" xfId="10823"/>
    <cellStyle name="40% - Accent1 2 2 4 2 2 2 2 2" xfId="18639"/>
    <cellStyle name="40% - Accent1 2 2 4 2 2 2 3" xfId="14752"/>
    <cellStyle name="40% - Accent1 2 2 4 2 2 3" xfId="10822"/>
    <cellStyle name="40% - Accent1 2 2 4 2 2 3 2" xfId="18638"/>
    <cellStyle name="40% - Accent1 2 2 4 2 2 4" xfId="14751"/>
    <cellStyle name="40% - Accent1 2 2 4 2 3" xfId="1821"/>
    <cellStyle name="40% - Accent1 2 2 4 2 3 2" xfId="10824"/>
    <cellStyle name="40% - Accent1 2 2 4 2 3 2 2" xfId="18640"/>
    <cellStyle name="40% - Accent1 2 2 4 2 3 3" xfId="14753"/>
    <cellStyle name="40% - Accent1 2 2 4 2 4" xfId="10821"/>
    <cellStyle name="40% - Accent1 2 2 4 2 4 2" xfId="18637"/>
    <cellStyle name="40% - Accent1 2 2 4 2 5" xfId="14750"/>
    <cellStyle name="40% - Accent1 2 2 4 3" xfId="1822"/>
    <cellStyle name="40% - Accent1 2 2 4 3 2" xfId="1823"/>
    <cellStyle name="40% - Accent1 2 2 4 3 2 2" xfId="10826"/>
    <cellStyle name="40% - Accent1 2 2 4 3 2 2 2" xfId="18642"/>
    <cellStyle name="40% - Accent1 2 2 4 3 2 3" xfId="14755"/>
    <cellStyle name="40% - Accent1 2 2 4 3 3" xfId="10825"/>
    <cellStyle name="40% - Accent1 2 2 4 3 3 2" xfId="18641"/>
    <cellStyle name="40% - Accent1 2 2 4 3 4" xfId="14754"/>
    <cellStyle name="40% - Accent1 2 2 4 4" xfId="1824"/>
    <cellStyle name="40% - Accent1 2 2 4 4 2" xfId="10827"/>
    <cellStyle name="40% - Accent1 2 2 4 4 2 2" xfId="18643"/>
    <cellStyle name="40% - Accent1 2 2 4 4 3" xfId="14756"/>
    <cellStyle name="40% - Accent1 2 2 4 5" xfId="10820"/>
    <cellStyle name="40% - Accent1 2 2 4 5 2" xfId="18636"/>
    <cellStyle name="40% - Accent1 2 2 4 6" xfId="14749"/>
    <cellStyle name="40% - Accent1 2 2 5" xfId="1825"/>
    <cellStyle name="40% - Accent1 2 2 5 2" xfId="1826"/>
    <cellStyle name="40% - Accent1 2 2 5 2 2" xfId="1827"/>
    <cellStyle name="40% - Accent1 2 2 5 2 2 2" xfId="1828"/>
    <cellStyle name="40% - Accent1 2 2 5 2 2 2 2" xfId="10831"/>
    <cellStyle name="40% - Accent1 2 2 5 2 2 2 2 2" xfId="18647"/>
    <cellStyle name="40% - Accent1 2 2 5 2 2 2 3" xfId="14760"/>
    <cellStyle name="40% - Accent1 2 2 5 2 2 3" xfId="10830"/>
    <cellStyle name="40% - Accent1 2 2 5 2 2 3 2" xfId="18646"/>
    <cellStyle name="40% - Accent1 2 2 5 2 2 4" xfId="14759"/>
    <cellStyle name="40% - Accent1 2 2 5 2 3" xfId="1829"/>
    <cellStyle name="40% - Accent1 2 2 5 2 3 2" xfId="10832"/>
    <cellStyle name="40% - Accent1 2 2 5 2 3 2 2" xfId="18648"/>
    <cellStyle name="40% - Accent1 2 2 5 2 3 3" xfId="14761"/>
    <cellStyle name="40% - Accent1 2 2 5 2 4" xfId="10829"/>
    <cellStyle name="40% - Accent1 2 2 5 2 4 2" xfId="18645"/>
    <cellStyle name="40% - Accent1 2 2 5 2 5" xfId="14758"/>
    <cellStyle name="40% - Accent1 2 2 5 3" xfId="1830"/>
    <cellStyle name="40% - Accent1 2 2 5 3 2" xfId="1831"/>
    <cellStyle name="40% - Accent1 2 2 5 3 2 2" xfId="10834"/>
    <cellStyle name="40% - Accent1 2 2 5 3 2 2 2" xfId="18650"/>
    <cellStyle name="40% - Accent1 2 2 5 3 2 3" xfId="14763"/>
    <cellStyle name="40% - Accent1 2 2 5 3 3" xfId="10833"/>
    <cellStyle name="40% - Accent1 2 2 5 3 3 2" xfId="18649"/>
    <cellStyle name="40% - Accent1 2 2 5 3 4" xfId="14762"/>
    <cellStyle name="40% - Accent1 2 2 5 4" xfId="1832"/>
    <cellStyle name="40% - Accent1 2 2 5 4 2" xfId="1833"/>
    <cellStyle name="40% - Accent1 2 2 5 4 2 2" xfId="10836"/>
    <cellStyle name="40% - Accent1 2 2 5 4 2 2 2" xfId="18652"/>
    <cellStyle name="40% - Accent1 2 2 5 4 2 3" xfId="14765"/>
    <cellStyle name="40% - Accent1 2 2 5 4 3" xfId="10835"/>
    <cellStyle name="40% - Accent1 2 2 5 4 3 2" xfId="18651"/>
    <cellStyle name="40% - Accent1 2 2 5 4 4" xfId="14764"/>
    <cellStyle name="40% - Accent1 2 2 5 5" xfId="1834"/>
    <cellStyle name="40% - Accent1 2 2 5 5 2" xfId="10837"/>
    <cellStyle name="40% - Accent1 2 2 5 5 2 2" xfId="18653"/>
    <cellStyle name="40% - Accent1 2 2 5 5 3" xfId="14766"/>
    <cellStyle name="40% - Accent1 2 2 5 6" xfId="10828"/>
    <cellStyle name="40% - Accent1 2 2 5 6 2" xfId="18644"/>
    <cellStyle name="40% - Accent1 2 2 5 7" xfId="14757"/>
    <cellStyle name="40% - Accent1 2 2 6" xfId="1835"/>
    <cellStyle name="40% - Accent1 2 2 6 2" xfId="1836"/>
    <cellStyle name="40% - Accent1 2 2 6 2 2" xfId="1837"/>
    <cellStyle name="40% - Accent1 2 2 6 2 2 2" xfId="10840"/>
    <cellStyle name="40% - Accent1 2 2 6 2 2 2 2" xfId="18656"/>
    <cellStyle name="40% - Accent1 2 2 6 2 2 3" xfId="14769"/>
    <cellStyle name="40% - Accent1 2 2 6 2 3" xfId="10839"/>
    <cellStyle name="40% - Accent1 2 2 6 2 3 2" xfId="18655"/>
    <cellStyle name="40% - Accent1 2 2 6 2 4" xfId="14768"/>
    <cellStyle name="40% - Accent1 2 2 6 3" xfId="1838"/>
    <cellStyle name="40% - Accent1 2 2 6 3 2" xfId="10841"/>
    <cellStyle name="40% - Accent1 2 2 6 3 2 2" xfId="18657"/>
    <cellStyle name="40% - Accent1 2 2 6 3 3" xfId="14770"/>
    <cellStyle name="40% - Accent1 2 2 6 4" xfId="10838"/>
    <cellStyle name="40% - Accent1 2 2 6 4 2" xfId="18654"/>
    <cellStyle name="40% - Accent1 2 2 6 5" xfId="14767"/>
    <cellStyle name="40% - Accent1 2 2 7" xfId="1839"/>
    <cellStyle name="40% - Accent1 2 2 7 2" xfId="1840"/>
    <cellStyle name="40% - Accent1 2 2 7 2 2" xfId="10843"/>
    <cellStyle name="40% - Accent1 2 2 7 2 2 2" xfId="18659"/>
    <cellStyle name="40% - Accent1 2 2 7 2 3" xfId="14772"/>
    <cellStyle name="40% - Accent1 2 2 7 3" xfId="10842"/>
    <cellStyle name="40% - Accent1 2 2 7 3 2" xfId="18658"/>
    <cellStyle name="40% - Accent1 2 2 7 4" xfId="14771"/>
    <cellStyle name="40% - Accent1 2 2 8" xfId="1841"/>
    <cellStyle name="40% - Accent1 2 2 8 2" xfId="10844"/>
    <cellStyle name="40% - Accent1 2 2 8 2 2" xfId="18660"/>
    <cellStyle name="40% - Accent1 2 2 8 3" xfId="14773"/>
    <cellStyle name="40% - Accent1 2 2 9" xfId="10773"/>
    <cellStyle name="40% - Accent1 2 2 9 2" xfId="18589"/>
    <cellStyle name="40% - Accent1 2 3" xfId="1842"/>
    <cellStyle name="40% - Accent1 2 3 2" xfId="1843"/>
    <cellStyle name="40% - Accent1 2 3 2 2" xfId="1844"/>
    <cellStyle name="40% - Accent1 2 3 2 2 2" xfId="1845"/>
    <cellStyle name="40% - Accent1 2 3 2 2 2 2" xfId="1846"/>
    <cellStyle name="40% - Accent1 2 3 2 2 2 2 2" xfId="10849"/>
    <cellStyle name="40% - Accent1 2 3 2 2 2 2 2 2" xfId="18665"/>
    <cellStyle name="40% - Accent1 2 3 2 2 2 2 3" xfId="14778"/>
    <cellStyle name="40% - Accent1 2 3 2 2 2 3" xfId="10848"/>
    <cellStyle name="40% - Accent1 2 3 2 2 2 3 2" xfId="18664"/>
    <cellStyle name="40% - Accent1 2 3 2 2 2 4" xfId="14777"/>
    <cellStyle name="40% - Accent1 2 3 2 2 3" xfId="1847"/>
    <cellStyle name="40% - Accent1 2 3 2 2 3 2" xfId="1848"/>
    <cellStyle name="40% - Accent1 2 3 2 2 3 2 2" xfId="10851"/>
    <cellStyle name="40% - Accent1 2 3 2 2 3 2 2 2" xfId="18667"/>
    <cellStyle name="40% - Accent1 2 3 2 2 3 2 3" xfId="14780"/>
    <cellStyle name="40% - Accent1 2 3 2 2 3 3" xfId="10850"/>
    <cellStyle name="40% - Accent1 2 3 2 2 3 3 2" xfId="18666"/>
    <cellStyle name="40% - Accent1 2 3 2 2 3 4" xfId="14779"/>
    <cellStyle name="40% - Accent1 2 3 2 2 4" xfId="1849"/>
    <cellStyle name="40% - Accent1 2 3 2 2 4 2" xfId="10852"/>
    <cellStyle name="40% - Accent1 2 3 2 2 4 2 2" xfId="18668"/>
    <cellStyle name="40% - Accent1 2 3 2 2 4 3" xfId="14781"/>
    <cellStyle name="40% - Accent1 2 3 2 2 5" xfId="10847"/>
    <cellStyle name="40% - Accent1 2 3 2 2 5 2" xfId="18663"/>
    <cellStyle name="40% - Accent1 2 3 2 2 6" xfId="14776"/>
    <cellStyle name="40% - Accent1 2 3 2 3" xfId="1850"/>
    <cellStyle name="40% - Accent1 2 3 2 3 2" xfId="1851"/>
    <cellStyle name="40% - Accent1 2 3 2 3 2 2" xfId="1852"/>
    <cellStyle name="40% - Accent1 2 3 2 3 2 2 2" xfId="10855"/>
    <cellStyle name="40% - Accent1 2 3 2 3 2 2 2 2" xfId="18671"/>
    <cellStyle name="40% - Accent1 2 3 2 3 2 2 3" xfId="14784"/>
    <cellStyle name="40% - Accent1 2 3 2 3 2 3" xfId="10854"/>
    <cellStyle name="40% - Accent1 2 3 2 3 2 3 2" xfId="18670"/>
    <cellStyle name="40% - Accent1 2 3 2 3 2 4" xfId="14783"/>
    <cellStyle name="40% - Accent1 2 3 2 3 3" xfId="1853"/>
    <cellStyle name="40% - Accent1 2 3 2 3 3 2" xfId="10856"/>
    <cellStyle name="40% - Accent1 2 3 2 3 3 2 2" xfId="18672"/>
    <cellStyle name="40% - Accent1 2 3 2 3 3 3" xfId="14785"/>
    <cellStyle name="40% - Accent1 2 3 2 3 4" xfId="10853"/>
    <cellStyle name="40% - Accent1 2 3 2 3 4 2" xfId="18669"/>
    <cellStyle name="40% - Accent1 2 3 2 3 5" xfId="14782"/>
    <cellStyle name="40% - Accent1 2 3 2 4" xfId="1854"/>
    <cellStyle name="40% - Accent1 2 3 2 4 2" xfId="1855"/>
    <cellStyle name="40% - Accent1 2 3 2 4 2 2" xfId="10858"/>
    <cellStyle name="40% - Accent1 2 3 2 4 2 2 2" xfId="18674"/>
    <cellStyle name="40% - Accent1 2 3 2 4 2 3" xfId="14787"/>
    <cellStyle name="40% - Accent1 2 3 2 4 3" xfId="10857"/>
    <cellStyle name="40% - Accent1 2 3 2 4 3 2" xfId="18673"/>
    <cellStyle name="40% - Accent1 2 3 2 4 4" xfId="14786"/>
    <cellStyle name="40% - Accent1 2 3 2 5" xfId="1856"/>
    <cellStyle name="40% - Accent1 2 3 2 5 2" xfId="10859"/>
    <cellStyle name="40% - Accent1 2 3 2 5 2 2" xfId="18675"/>
    <cellStyle name="40% - Accent1 2 3 2 5 3" xfId="14788"/>
    <cellStyle name="40% - Accent1 2 3 2 6" xfId="10846"/>
    <cellStyle name="40% - Accent1 2 3 2 6 2" xfId="18662"/>
    <cellStyle name="40% - Accent1 2 3 2 7" xfId="14775"/>
    <cellStyle name="40% - Accent1 2 3 3" xfId="1857"/>
    <cellStyle name="40% - Accent1 2 3 3 2" xfId="1858"/>
    <cellStyle name="40% - Accent1 2 3 3 2 2" xfId="1859"/>
    <cellStyle name="40% - Accent1 2 3 3 2 2 2" xfId="1860"/>
    <cellStyle name="40% - Accent1 2 3 3 2 2 2 2" xfId="10863"/>
    <cellStyle name="40% - Accent1 2 3 3 2 2 2 2 2" xfId="18679"/>
    <cellStyle name="40% - Accent1 2 3 3 2 2 2 3" xfId="14792"/>
    <cellStyle name="40% - Accent1 2 3 3 2 2 3" xfId="10862"/>
    <cellStyle name="40% - Accent1 2 3 3 2 2 3 2" xfId="18678"/>
    <cellStyle name="40% - Accent1 2 3 3 2 2 4" xfId="14791"/>
    <cellStyle name="40% - Accent1 2 3 3 2 3" xfId="1861"/>
    <cellStyle name="40% - Accent1 2 3 3 2 3 2" xfId="10864"/>
    <cellStyle name="40% - Accent1 2 3 3 2 3 2 2" xfId="18680"/>
    <cellStyle name="40% - Accent1 2 3 3 2 3 3" xfId="14793"/>
    <cellStyle name="40% - Accent1 2 3 3 2 4" xfId="10861"/>
    <cellStyle name="40% - Accent1 2 3 3 2 4 2" xfId="18677"/>
    <cellStyle name="40% - Accent1 2 3 3 2 5" xfId="14790"/>
    <cellStyle name="40% - Accent1 2 3 3 3" xfId="1862"/>
    <cellStyle name="40% - Accent1 2 3 3 3 2" xfId="1863"/>
    <cellStyle name="40% - Accent1 2 3 3 3 2 2" xfId="10866"/>
    <cellStyle name="40% - Accent1 2 3 3 3 2 2 2" xfId="18682"/>
    <cellStyle name="40% - Accent1 2 3 3 3 2 3" xfId="14795"/>
    <cellStyle name="40% - Accent1 2 3 3 3 3" xfId="10865"/>
    <cellStyle name="40% - Accent1 2 3 3 3 3 2" xfId="18681"/>
    <cellStyle name="40% - Accent1 2 3 3 3 4" xfId="14794"/>
    <cellStyle name="40% - Accent1 2 3 3 4" xfId="1864"/>
    <cellStyle name="40% - Accent1 2 3 3 4 2" xfId="1865"/>
    <cellStyle name="40% - Accent1 2 3 3 4 2 2" xfId="10868"/>
    <cellStyle name="40% - Accent1 2 3 3 4 2 2 2" xfId="18684"/>
    <cellStyle name="40% - Accent1 2 3 3 4 2 3" xfId="14797"/>
    <cellStyle name="40% - Accent1 2 3 3 4 3" xfId="10867"/>
    <cellStyle name="40% - Accent1 2 3 3 4 3 2" xfId="18683"/>
    <cellStyle name="40% - Accent1 2 3 3 4 4" xfId="14796"/>
    <cellStyle name="40% - Accent1 2 3 3 5" xfId="1866"/>
    <cellStyle name="40% - Accent1 2 3 3 5 2" xfId="10869"/>
    <cellStyle name="40% - Accent1 2 3 3 5 2 2" xfId="18685"/>
    <cellStyle name="40% - Accent1 2 3 3 5 3" xfId="14798"/>
    <cellStyle name="40% - Accent1 2 3 3 6" xfId="10860"/>
    <cellStyle name="40% - Accent1 2 3 3 6 2" xfId="18676"/>
    <cellStyle name="40% - Accent1 2 3 3 7" xfId="14789"/>
    <cellStyle name="40% - Accent1 2 3 4" xfId="1867"/>
    <cellStyle name="40% - Accent1 2 3 4 2" xfId="1868"/>
    <cellStyle name="40% - Accent1 2 3 4 2 2" xfId="1869"/>
    <cellStyle name="40% - Accent1 2 3 4 2 2 2" xfId="10872"/>
    <cellStyle name="40% - Accent1 2 3 4 2 2 2 2" xfId="18688"/>
    <cellStyle name="40% - Accent1 2 3 4 2 2 3" xfId="14801"/>
    <cellStyle name="40% - Accent1 2 3 4 2 3" xfId="10871"/>
    <cellStyle name="40% - Accent1 2 3 4 2 3 2" xfId="18687"/>
    <cellStyle name="40% - Accent1 2 3 4 2 4" xfId="14800"/>
    <cellStyle name="40% - Accent1 2 3 4 3" xfId="1870"/>
    <cellStyle name="40% - Accent1 2 3 4 3 2" xfId="10873"/>
    <cellStyle name="40% - Accent1 2 3 4 3 2 2" xfId="18689"/>
    <cellStyle name="40% - Accent1 2 3 4 3 3" xfId="14802"/>
    <cellStyle name="40% - Accent1 2 3 4 4" xfId="10870"/>
    <cellStyle name="40% - Accent1 2 3 4 4 2" xfId="18686"/>
    <cellStyle name="40% - Accent1 2 3 4 5" xfId="14799"/>
    <cellStyle name="40% - Accent1 2 3 5" xfId="1871"/>
    <cellStyle name="40% - Accent1 2 3 5 2" xfId="1872"/>
    <cellStyle name="40% - Accent1 2 3 5 2 2" xfId="10875"/>
    <cellStyle name="40% - Accent1 2 3 5 2 2 2" xfId="18691"/>
    <cellStyle name="40% - Accent1 2 3 5 2 3" xfId="14804"/>
    <cellStyle name="40% - Accent1 2 3 5 3" xfId="10874"/>
    <cellStyle name="40% - Accent1 2 3 5 3 2" xfId="18690"/>
    <cellStyle name="40% - Accent1 2 3 5 4" xfId="14803"/>
    <cellStyle name="40% - Accent1 2 3 6" xfId="1873"/>
    <cellStyle name="40% - Accent1 2 3 6 2" xfId="10876"/>
    <cellStyle name="40% - Accent1 2 3 6 2 2" xfId="18692"/>
    <cellStyle name="40% - Accent1 2 3 6 3" xfId="14805"/>
    <cellStyle name="40% - Accent1 2 3 7" xfId="10845"/>
    <cellStyle name="40% - Accent1 2 3 7 2" xfId="18661"/>
    <cellStyle name="40% - Accent1 2 3 8" xfId="14774"/>
    <cellStyle name="40% - Accent1 2 4" xfId="1874"/>
    <cellStyle name="40% - Accent1 2 4 2" xfId="1875"/>
    <cellStyle name="40% - Accent1 2 4 2 2" xfId="1876"/>
    <cellStyle name="40% - Accent1 2 4 2 2 2" xfId="1877"/>
    <cellStyle name="40% - Accent1 2 4 2 2 2 2" xfId="10880"/>
    <cellStyle name="40% - Accent1 2 4 2 2 2 2 2" xfId="18696"/>
    <cellStyle name="40% - Accent1 2 4 2 2 2 3" xfId="14809"/>
    <cellStyle name="40% - Accent1 2 4 2 2 3" xfId="10879"/>
    <cellStyle name="40% - Accent1 2 4 2 2 3 2" xfId="18695"/>
    <cellStyle name="40% - Accent1 2 4 2 2 4" xfId="14808"/>
    <cellStyle name="40% - Accent1 2 4 2 3" xfId="1878"/>
    <cellStyle name="40% - Accent1 2 4 2 3 2" xfId="1879"/>
    <cellStyle name="40% - Accent1 2 4 2 3 2 2" xfId="10882"/>
    <cellStyle name="40% - Accent1 2 4 2 3 2 2 2" xfId="18698"/>
    <cellStyle name="40% - Accent1 2 4 2 3 2 3" xfId="14811"/>
    <cellStyle name="40% - Accent1 2 4 2 3 3" xfId="10881"/>
    <cellStyle name="40% - Accent1 2 4 2 3 3 2" xfId="18697"/>
    <cellStyle name="40% - Accent1 2 4 2 3 4" xfId="14810"/>
    <cellStyle name="40% - Accent1 2 4 2 4" xfId="1880"/>
    <cellStyle name="40% - Accent1 2 4 2 4 2" xfId="10883"/>
    <cellStyle name="40% - Accent1 2 4 2 4 2 2" xfId="18699"/>
    <cellStyle name="40% - Accent1 2 4 2 4 3" xfId="14812"/>
    <cellStyle name="40% - Accent1 2 4 2 5" xfId="10878"/>
    <cellStyle name="40% - Accent1 2 4 2 5 2" xfId="18694"/>
    <cellStyle name="40% - Accent1 2 4 2 6" xfId="14807"/>
    <cellStyle name="40% - Accent1 2 4 3" xfId="1881"/>
    <cellStyle name="40% - Accent1 2 4 3 2" xfId="1882"/>
    <cellStyle name="40% - Accent1 2 4 3 2 2" xfId="1883"/>
    <cellStyle name="40% - Accent1 2 4 3 2 2 2" xfId="10886"/>
    <cellStyle name="40% - Accent1 2 4 3 2 2 2 2" xfId="18702"/>
    <cellStyle name="40% - Accent1 2 4 3 2 2 3" xfId="14815"/>
    <cellStyle name="40% - Accent1 2 4 3 2 3" xfId="10885"/>
    <cellStyle name="40% - Accent1 2 4 3 2 3 2" xfId="18701"/>
    <cellStyle name="40% - Accent1 2 4 3 2 4" xfId="14814"/>
    <cellStyle name="40% - Accent1 2 4 3 3" xfId="1884"/>
    <cellStyle name="40% - Accent1 2 4 3 3 2" xfId="10887"/>
    <cellStyle name="40% - Accent1 2 4 3 3 2 2" xfId="18703"/>
    <cellStyle name="40% - Accent1 2 4 3 3 3" xfId="14816"/>
    <cellStyle name="40% - Accent1 2 4 3 4" xfId="10884"/>
    <cellStyle name="40% - Accent1 2 4 3 4 2" xfId="18700"/>
    <cellStyle name="40% - Accent1 2 4 3 5" xfId="14813"/>
    <cellStyle name="40% - Accent1 2 4 4" xfId="1885"/>
    <cellStyle name="40% - Accent1 2 4 4 2" xfId="1886"/>
    <cellStyle name="40% - Accent1 2 4 4 2 2" xfId="10889"/>
    <cellStyle name="40% - Accent1 2 4 4 2 2 2" xfId="18705"/>
    <cellStyle name="40% - Accent1 2 4 4 2 3" xfId="14818"/>
    <cellStyle name="40% - Accent1 2 4 4 3" xfId="10888"/>
    <cellStyle name="40% - Accent1 2 4 4 3 2" xfId="18704"/>
    <cellStyle name="40% - Accent1 2 4 4 4" xfId="14817"/>
    <cellStyle name="40% - Accent1 2 4 5" xfId="1887"/>
    <cellStyle name="40% - Accent1 2 4 5 2" xfId="10890"/>
    <cellStyle name="40% - Accent1 2 4 5 2 2" xfId="18706"/>
    <cellStyle name="40% - Accent1 2 4 5 3" xfId="14819"/>
    <cellStyle name="40% - Accent1 2 4 6" xfId="10877"/>
    <cellStyle name="40% - Accent1 2 4 6 2" xfId="18693"/>
    <cellStyle name="40% - Accent1 2 4 7" xfId="14806"/>
    <cellStyle name="40% - Accent1 2 5" xfId="1888"/>
    <cellStyle name="40% - Accent1 2 5 2" xfId="1889"/>
    <cellStyle name="40% - Accent1 2 5 2 2" xfId="1890"/>
    <cellStyle name="40% - Accent1 2 5 2 2 2" xfId="1891"/>
    <cellStyle name="40% - Accent1 2 5 2 2 2 2" xfId="10894"/>
    <cellStyle name="40% - Accent1 2 5 2 2 2 2 2" xfId="18710"/>
    <cellStyle name="40% - Accent1 2 5 2 2 2 3" xfId="14823"/>
    <cellStyle name="40% - Accent1 2 5 2 2 3" xfId="10893"/>
    <cellStyle name="40% - Accent1 2 5 2 2 3 2" xfId="18709"/>
    <cellStyle name="40% - Accent1 2 5 2 2 4" xfId="14822"/>
    <cellStyle name="40% - Accent1 2 5 2 3" xfId="1892"/>
    <cellStyle name="40% - Accent1 2 5 2 3 2" xfId="10895"/>
    <cellStyle name="40% - Accent1 2 5 2 3 2 2" xfId="18711"/>
    <cellStyle name="40% - Accent1 2 5 2 3 3" xfId="14824"/>
    <cellStyle name="40% - Accent1 2 5 2 4" xfId="10892"/>
    <cellStyle name="40% - Accent1 2 5 2 4 2" xfId="18708"/>
    <cellStyle name="40% - Accent1 2 5 2 5" xfId="14821"/>
    <cellStyle name="40% - Accent1 2 5 3" xfId="1893"/>
    <cellStyle name="40% - Accent1 2 5 3 2" xfId="1894"/>
    <cellStyle name="40% - Accent1 2 5 3 2 2" xfId="10897"/>
    <cellStyle name="40% - Accent1 2 5 3 2 2 2" xfId="18713"/>
    <cellStyle name="40% - Accent1 2 5 3 2 3" xfId="14826"/>
    <cellStyle name="40% - Accent1 2 5 3 3" xfId="10896"/>
    <cellStyle name="40% - Accent1 2 5 3 3 2" xfId="18712"/>
    <cellStyle name="40% - Accent1 2 5 3 4" xfId="14825"/>
    <cellStyle name="40% - Accent1 2 5 4" xfId="1895"/>
    <cellStyle name="40% - Accent1 2 5 4 2" xfId="10898"/>
    <cellStyle name="40% - Accent1 2 5 4 2 2" xfId="18714"/>
    <cellStyle name="40% - Accent1 2 5 4 3" xfId="14827"/>
    <cellStyle name="40% - Accent1 2 5 5" xfId="10891"/>
    <cellStyle name="40% - Accent1 2 5 5 2" xfId="18707"/>
    <cellStyle name="40% - Accent1 2 5 6" xfId="14820"/>
    <cellStyle name="40% - Accent1 2 6" xfId="1896"/>
    <cellStyle name="40% - Accent1 2 6 2" xfId="1897"/>
    <cellStyle name="40% - Accent1 2 6 2 2" xfId="1898"/>
    <cellStyle name="40% - Accent1 2 6 2 2 2" xfId="1899"/>
    <cellStyle name="40% - Accent1 2 6 2 2 2 2" xfId="10902"/>
    <cellStyle name="40% - Accent1 2 6 2 2 2 2 2" xfId="18718"/>
    <cellStyle name="40% - Accent1 2 6 2 2 2 3" xfId="14831"/>
    <cellStyle name="40% - Accent1 2 6 2 2 3" xfId="10901"/>
    <cellStyle name="40% - Accent1 2 6 2 2 3 2" xfId="18717"/>
    <cellStyle name="40% - Accent1 2 6 2 2 4" xfId="14830"/>
    <cellStyle name="40% - Accent1 2 6 2 3" xfId="1900"/>
    <cellStyle name="40% - Accent1 2 6 2 3 2" xfId="10903"/>
    <cellStyle name="40% - Accent1 2 6 2 3 2 2" xfId="18719"/>
    <cellStyle name="40% - Accent1 2 6 2 3 3" xfId="14832"/>
    <cellStyle name="40% - Accent1 2 6 2 4" xfId="10900"/>
    <cellStyle name="40% - Accent1 2 6 2 4 2" xfId="18716"/>
    <cellStyle name="40% - Accent1 2 6 2 5" xfId="14829"/>
    <cellStyle name="40% - Accent1 2 6 3" xfId="1901"/>
    <cellStyle name="40% - Accent1 2 6 3 2" xfId="1902"/>
    <cellStyle name="40% - Accent1 2 6 3 2 2" xfId="10905"/>
    <cellStyle name="40% - Accent1 2 6 3 2 2 2" xfId="18721"/>
    <cellStyle name="40% - Accent1 2 6 3 2 3" xfId="14834"/>
    <cellStyle name="40% - Accent1 2 6 3 3" xfId="10904"/>
    <cellStyle name="40% - Accent1 2 6 3 3 2" xfId="18720"/>
    <cellStyle name="40% - Accent1 2 6 3 4" xfId="14833"/>
    <cellStyle name="40% - Accent1 2 6 4" xfId="1903"/>
    <cellStyle name="40% - Accent1 2 6 4 2" xfId="10906"/>
    <cellStyle name="40% - Accent1 2 6 4 2 2" xfId="18722"/>
    <cellStyle name="40% - Accent1 2 6 4 3" xfId="14835"/>
    <cellStyle name="40% - Accent1 2 6 5" xfId="10899"/>
    <cellStyle name="40% - Accent1 2 6 5 2" xfId="18715"/>
    <cellStyle name="40% - Accent1 2 6 6" xfId="14828"/>
    <cellStyle name="40% - Accent1 2 7" xfId="1904"/>
    <cellStyle name="40% - Accent1 2 7 2" xfId="1905"/>
    <cellStyle name="40% - Accent1 2 7 2 2" xfId="1906"/>
    <cellStyle name="40% - Accent1 2 7 2 2 2" xfId="10909"/>
    <cellStyle name="40% - Accent1 2 7 2 2 2 2" xfId="18725"/>
    <cellStyle name="40% - Accent1 2 7 2 2 3" xfId="14838"/>
    <cellStyle name="40% - Accent1 2 7 2 3" xfId="10908"/>
    <cellStyle name="40% - Accent1 2 7 2 3 2" xfId="18724"/>
    <cellStyle name="40% - Accent1 2 7 2 4" xfId="14837"/>
    <cellStyle name="40% - Accent1 2 7 3" xfId="1907"/>
    <cellStyle name="40% - Accent1 2 7 3 2" xfId="10910"/>
    <cellStyle name="40% - Accent1 2 7 3 2 2" xfId="18726"/>
    <cellStyle name="40% - Accent1 2 7 3 3" xfId="14839"/>
    <cellStyle name="40% - Accent1 2 7 4" xfId="10907"/>
    <cellStyle name="40% - Accent1 2 7 4 2" xfId="18723"/>
    <cellStyle name="40% - Accent1 2 7 5" xfId="14836"/>
    <cellStyle name="40% - Accent1 2 8" xfId="1908"/>
    <cellStyle name="40% - Accent1 2 8 2" xfId="1909"/>
    <cellStyle name="40% - Accent1 2 8 2 2" xfId="10912"/>
    <cellStyle name="40% - Accent1 2 8 2 2 2" xfId="18728"/>
    <cellStyle name="40% - Accent1 2 8 2 3" xfId="14841"/>
    <cellStyle name="40% - Accent1 2 8 3" xfId="10911"/>
    <cellStyle name="40% - Accent1 2 8 3 2" xfId="18727"/>
    <cellStyle name="40% - Accent1 2 8 4" xfId="14840"/>
    <cellStyle name="40% - Accent1 2 9" xfId="1910"/>
    <cellStyle name="40% - Accent1 2 9 2" xfId="1911"/>
    <cellStyle name="40% - Accent1 2 9 2 2" xfId="10914"/>
    <cellStyle name="40% - Accent1 2 9 2 2 2" xfId="18730"/>
    <cellStyle name="40% - Accent1 2 9 2 3" xfId="14843"/>
    <cellStyle name="40% - Accent1 2 9 3" xfId="10913"/>
    <cellStyle name="40% - Accent1 2 9 3 2" xfId="18729"/>
    <cellStyle name="40% - Accent1 2 9 4" xfId="14842"/>
    <cellStyle name="40% - Accent1 3" xfId="1912"/>
    <cellStyle name="40% - Accent1 3 2" xfId="1913"/>
    <cellStyle name="40% - Accent1 3 2 2" xfId="1914"/>
    <cellStyle name="40% - Accent1 3 2 2 2" xfId="1915"/>
    <cellStyle name="40% - Accent1 3 2 2 2 2" xfId="1916"/>
    <cellStyle name="40% - Accent1 3 2 2 2 2 2" xfId="1917"/>
    <cellStyle name="40% - Accent1 3 2 2 2 2 2 2" xfId="10919"/>
    <cellStyle name="40% - Accent1 3 2 2 2 2 2 2 2" xfId="18735"/>
    <cellStyle name="40% - Accent1 3 2 2 2 2 2 3" xfId="14848"/>
    <cellStyle name="40% - Accent1 3 2 2 2 2 3" xfId="10918"/>
    <cellStyle name="40% - Accent1 3 2 2 2 2 3 2" xfId="18734"/>
    <cellStyle name="40% - Accent1 3 2 2 2 2 4" xfId="14847"/>
    <cellStyle name="40% - Accent1 3 2 2 2 3" xfId="1918"/>
    <cellStyle name="40% - Accent1 3 2 2 2 3 2" xfId="1919"/>
    <cellStyle name="40% - Accent1 3 2 2 2 3 2 2" xfId="10921"/>
    <cellStyle name="40% - Accent1 3 2 2 2 3 2 2 2" xfId="18737"/>
    <cellStyle name="40% - Accent1 3 2 2 2 3 2 3" xfId="14850"/>
    <cellStyle name="40% - Accent1 3 2 2 2 3 3" xfId="10920"/>
    <cellStyle name="40% - Accent1 3 2 2 2 3 3 2" xfId="18736"/>
    <cellStyle name="40% - Accent1 3 2 2 2 3 4" xfId="14849"/>
    <cellStyle name="40% - Accent1 3 2 2 2 4" xfId="1920"/>
    <cellStyle name="40% - Accent1 3 2 2 2 4 2" xfId="10922"/>
    <cellStyle name="40% - Accent1 3 2 2 2 4 2 2" xfId="18738"/>
    <cellStyle name="40% - Accent1 3 2 2 2 4 3" xfId="14851"/>
    <cellStyle name="40% - Accent1 3 2 2 2 5" xfId="10917"/>
    <cellStyle name="40% - Accent1 3 2 2 2 5 2" xfId="18733"/>
    <cellStyle name="40% - Accent1 3 2 2 2 6" xfId="14846"/>
    <cellStyle name="40% - Accent1 3 2 2 3" xfId="1921"/>
    <cellStyle name="40% - Accent1 3 2 2 3 2" xfId="1922"/>
    <cellStyle name="40% - Accent1 3 2 2 3 2 2" xfId="1923"/>
    <cellStyle name="40% - Accent1 3 2 2 3 2 2 2" xfId="10925"/>
    <cellStyle name="40% - Accent1 3 2 2 3 2 2 2 2" xfId="18741"/>
    <cellStyle name="40% - Accent1 3 2 2 3 2 2 3" xfId="14854"/>
    <cellStyle name="40% - Accent1 3 2 2 3 2 3" xfId="10924"/>
    <cellStyle name="40% - Accent1 3 2 2 3 2 3 2" xfId="18740"/>
    <cellStyle name="40% - Accent1 3 2 2 3 2 4" xfId="14853"/>
    <cellStyle name="40% - Accent1 3 2 2 3 3" xfId="1924"/>
    <cellStyle name="40% - Accent1 3 2 2 3 3 2" xfId="10926"/>
    <cellStyle name="40% - Accent1 3 2 2 3 3 2 2" xfId="18742"/>
    <cellStyle name="40% - Accent1 3 2 2 3 3 3" xfId="14855"/>
    <cellStyle name="40% - Accent1 3 2 2 3 4" xfId="10923"/>
    <cellStyle name="40% - Accent1 3 2 2 3 4 2" xfId="18739"/>
    <cellStyle name="40% - Accent1 3 2 2 3 5" xfId="14852"/>
    <cellStyle name="40% - Accent1 3 2 2 4" xfId="1925"/>
    <cellStyle name="40% - Accent1 3 2 2 4 2" xfId="1926"/>
    <cellStyle name="40% - Accent1 3 2 2 4 2 2" xfId="10928"/>
    <cellStyle name="40% - Accent1 3 2 2 4 2 2 2" xfId="18744"/>
    <cellStyle name="40% - Accent1 3 2 2 4 2 3" xfId="14857"/>
    <cellStyle name="40% - Accent1 3 2 2 4 3" xfId="10927"/>
    <cellStyle name="40% - Accent1 3 2 2 4 3 2" xfId="18743"/>
    <cellStyle name="40% - Accent1 3 2 2 4 4" xfId="14856"/>
    <cellStyle name="40% - Accent1 3 2 2 5" xfId="1927"/>
    <cellStyle name="40% - Accent1 3 2 2 5 2" xfId="10929"/>
    <cellStyle name="40% - Accent1 3 2 2 5 2 2" xfId="18745"/>
    <cellStyle name="40% - Accent1 3 2 2 5 3" xfId="14858"/>
    <cellStyle name="40% - Accent1 3 2 2 6" xfId="10916"/>
    <cellStyle name="40% - Accent1 3 2 2 6 2" xfId="18732"/>
    <cellStyle name="40% - Accent1 3 2 2 7" xfId="14845"/>
    <cellStyle name="40% - Accent1 3 2 3" xfId="1928"/>
    <cellStyle name="40% - Accent1 3 2 3 2" xfId="1929"/>
    <cellStyle name="40% - Accent1 3 2 3 2 2" xfId="1930"/>
    <cellStyle name="40% - Accent1 3 2 3 2 2 2" xfId="1931"/>
    <cellStyle name="40% - Accent1 3 2 3 2 2 2 2" xfId="10933"/>
    <cellStyle name="40% - Accent1 3 2 3 2 2 2 2 2" xfId="18749"/>
    <cellStyle name="40% - Accent1 3 2 3 2 2 2 3" xfId="14862"/>
    <cellStyle name="40% - Accent1 3 2 3 2 2 3" xfId="10932"/>
    <cellStyle name="40% - Accent1 3 2 3 2 2 3 2" xfId="18748"/>
    <cellStyle name="40% - Accent1 3 2 3 2 2 4" xfId="14861"/>
    <cellStyle name="40% - Accent1 3 2 3 2 3" xfId="1932"/>
    <cellStyle name="40% - Accent1 3 2 3 2 3 2" xfId="10934"/>
    <cellStyle name="40% - Accent1 3 2 3 2 3 2 2" xfId="18750"/>
    <cellStyle name="40% - Accent1 3 2 3 2 3 3" xfId="14863"/>
    <cellStyle name="40% - Accent1 3 2 3 2 4" xfId="10931"/>
    <cellStyle name="40% - Accent1 3 2 3 2 4 2" xfId="18747"/>
    <cellStyle name="40% - Accent1 3 2 3 2 5" xfId="14860"/>
    <cellStyle name="40% - Accent1 3 2 3 3" xfId="1933"/>
    <cellStyle name="40% - Accent1 3 2 3 3 2" xfId="1934"/>
    <cellStyle name="40% - Accent1 3 2 3 3 2 2" xfId="10936"/>
    <cellStyle name="40% - Accent1 3 2 3 3 2 2 2" xfId="18752"/>
    <cellStyle name="40% - Accent1 3 2 3 3 2 3" xfId="14865"/>
    <cellStyle name="40% - Accent1 3 2 3 3 3" xfId="10935"/>
    <cellStyle name="40% - Accent1 3 2 3 3 3 2" xfId="18751"/>
    <cellStyle name="40% - Accent1 3 2 3 3 4" xfId="14864"/>
    <cellStyle name="40% - Accent1 3 2 3 4" xfId="1935"/>
    <cellStyle name="40% - Accent1 3 2 3 4 2" xfId="1936"/>
    <cellStyle name="40% - Accent1 3 2 3 4 2 2" xfId="10938"/>
    <cellStyle name="40% - Accent1 3 2 3 4 2 2 2" xfId="18754"/>
    <cellStyle name="40% - Accent1 3 2 3 4 2 3" xfId="14867"/>
    <cellStyle name="40% - Accent1 3 2 3 4 3" xfId="10937"/>
    <cellStyle name="40% - Accent1 3 2 3 4 3 2" xfId="18753"/>
    <cellStyle name="40% - Accent1 3 2 3 4 4" xfId="14866"/>
    <cellStyle name="40% - Accent1 3 2 3 5" xfId="1937"/>
    <cellStyle name="40% - Accent1 3 2 3 5 2" xfId="10939"/>
    <cellStyle name="40% - Accent1 3 2 3 5 2 2" xfId="18755"/>
    <cellStyle name="40% - Accent1 3 2 3 5 3" xfId="14868"/>
    <cellStyle name="40% - Accent1 3 2 3 6" xfId="10930"/>
    <cellStyle name="40% - Accent1 3 2 3 6 2" xfId="18746"/>
    <cellStyle name="40% - Accent1 3 2 3 7" xfId="14859"/>
    <cellStyle name="40% - Accent1 3 2 4" xfId="1938"/>
    <cellStyle name="40% - Accent1 3 2 4 2" xfId="1939"/>
    <cellStyle name="40% - Accent1 3 2 4 2 2" xfId="1940"/>
    <cellStyle name="40% - Accent1 3 2 4 2 2 2" xfId="10942"/>
    <cellStyle name="40% - Accent1 3 2 4 2 2 2 2" xfId="18758"/>
    <cellStyle name="40% - Accent1 3 2 4 2 2 3" xfId="14871"/>
    <cellStyle name="40% - Accent1 3 2 4 2 3" xfId="10941"/>
    <cellStyle name="40% - Accent1 3 2 4 2 3 2" xfId="18757"/>
    <cellStyle name="40% - Accent1 3 2 4 2 4" xfId="14870"/>
    <cellStyle name="40% - Accent1 3 2 4 3" xfId="1941"/>
    <cellStyle name="40% - Accent1 3 2 4 3 2" xfId="10943"/>
    <cellStyle name="40% - Accent1 3 2 4 3 2 2" xfId="18759"/>
    <cellStyle name="40% - Accent1 3 2 4 3 3" xfId="14872"/>
    <cellStyle name="40% - Accent1 3 2 4 4" xfId="10940"/>
    <cellStyle name="40% - Accent1 3 2 4 4 2" xfId="18756"/>
    <cellStyle name="40% - Accent1 3 2 4 5" xfId="14869"/>
    <cellStyle name="40% - Accent1 3 2 5" xfId="1942"/>
    <cellStyle name="40% - Accent1 3 2 5 2" xfId="1943"/>
    <cellStyle name="40% - Accent1 3 2 5 2 2" xfId="10945"/>
    <cellStyle name="40% - Accent1 3 2 5 2 2 2" xfId="18761"/>
    <cellStyle name="40% - Accent1 3 2 5 2 3" xfId="14874"/>
    <cellStyle name="40% - Accent1 3 2 5 3" xfId="10944"/>
    <cellStyle name="40% - Accent1 3 2 5 3 2" xfId="18760"/>
    <cellStyle name="40% - Accent1 3 2 5 4" xfId="14873"/>
    <cellStyle name="40% - Accent1 3 2 6" xfId="1944"/>
    <cellStyle name="40% - Accent1 3 2 6 2" xfId="10946"/>
    <cellStyle name="40% - Accent1 3 2 6 2 2" xfId="18762"/>
    <cellStyle name="40% - Accent1 3 2 6 3" xfId="14875"/>
    <cellStyle name="40% - Accent1 3 2 7" xfId="10915"/>
    <cellStyle name="40% - Accent1 3 2 7 2" xfId="18731"/>
    <cellStyle name="40% - Accent1 3 2 8" xfId="14844"/>
    <cellStyle name="40% - Accent1 3 3" xfId="1945"/>
    <cellStyle name="40% - Accent1 3 3 2" xfId="1946"/>
    <cellStyle name="40% - Accent1 3 3 2 2" xfId="1947"/>
    <cellStyle name="40% - Accent1 3 3 2 2 2" xfId="1948"/>
    <cellStyle name="40% - Accent1 3 3 2 2 2 2" xfId="10950"/>
    <cellStyle name="40% - Accent1 3 3 2 2 2 2 2" xfId="18766"/>
    <cellStyle name="40% - Accent1 3 3 2 2 2 3" xfId="14879"/>
    <cellStyle name="40% - Accent1 3 3 2 2 3" xfId="10949"/>
    <cellStyle name="40% - Accent1 3 3 2 2 3 2" xfId="18765"/>
    <cellStyle name="40% - Accent1 3 3 2 2 4" xfId="14878"/>
    <cellStyle name="40% - Accent1 3 3 2 3" xfId="1949"/>
    <cellStyle name="40% - Accent1 3 3 2 3 2" xfId="1950"/>
    <cellStyle name="40% - Accent1 3 3 2 3 2 2" xfId="10952"/>
    <cellStyle name="40% - Accent1 3 3 2 3 2 2 2" xfId="18768"/>
    <cellStyle name="40% - Accent1 3 3 2 3 2 3" xfId="14881"/>
    <cellStyle name="40% - Accent1 3 3 2 3 3" xfId="10951"/>
    <cellStyle name="40% - Accent1 3 3 2 3 3 2" xfId="18767"/>
    <cellStyle name="40% - Accent1 3 3 2 3 4" xfId="14880"/>
    <cellStyle name="40% - Accent1 3 3 2 4" xfId="1951"/>
    <cellStyle name="40% - Accent1 3 3 2 4 2" xfId="10953"/>
    <cellStyle name="40% - Accent1 3 3 2 4 2 2" xfId="18769"/>
    <cellStyle name="40% - Accent1 3 3 2 4 3" xfId="14882"/>
    <cellStyle name="40% - Accent1 3 3 2 5" xfId="10948"/>
    <cellStyle name="40% - Accent1 3 3 2 5 2" xfId="18764"/>
    <cellStyle name="40% - Accent1 3 3 2 6" xfId="14877"/>
    <cellStyle name="40% - Accent1 3 3 3" xfId="1952"/>
    <cellStyle name="40% - Accent1 3 3 3 2" xfId="1953"/>
    <cellStyle name="40% - Accent1 3 3 3 2 2" xfId="1954"/>
    <cellStyle name="40% - Accent1 3 3 3 2 2 2" xfId="10956"/>
    <cellStyle name="40% - Accent1 3 3 3 2 2 2 2" xfId="18772"/>
    <cellStyle name="40% - Accent1 3 3 3 2 2 3" xfId="14885"/>
    <cellStyle name="40% - Accent1 3 3 3 2 3" xfId="10955"/>
    <cellStyle name="40% - Accent1 3 3 3 2 3 2" xfId="18771"/>
    <cellStyle name="40% - Accent1 3 3 3 2 4" xfId="14884"/>
    <cellStyle name="40% - Accent1 3 3 3 3" xfId="1955"/>
    <cellStyle name="40% - Accent1 3 3 3 3 2" xfId="10957"/>
    <cellStyle name="40% - Accent1 3 3 3 3 2 2" xfId="18773"/>
    <cellStyle name="40% - Accent1 3 3 3 3 3" xfId="14886"/>
    <cellStyle name="40% - Accent1 3 3 3 4" xfId="10954"/>
    <cellStyle name="40% - Accent1 3 3 3 4 2" xfId="18770"/>
    <cellStyle name="40% - Accent1 3 3 3 5" xfId="14883"/>
    <cellStyle name="40% - Accent1 3 3 4" xfId="1956"/>
    <cellStyle name="40% - Accent1 3 3 4 2" xfId="1957"/>
    <cellStyle name="40% - Accent1 3 3 4 2 2" xfId="10959"/>
    <cellStyle name="40% - Accent1 3 3 4 2 2 2" xfId="18775"/>
    <cellStyle name="40% - Accent1 3 3 4 2 3" xfId="14888"/>
    <cellStyle name="40% - Accent1 3 3 4 3" xfId="10958"/>
    <cellStyle name="40% - Accent1 3 3 4 3 2" xfId="18774"/>
    <cellStyle name="40% - Accent1 3 3 4 4" xfId="14887"/>
    <cellStyle name="40% - Accent1 3 3 5" xfId="1958"/>
    <cellStyle name="40% - Accent1 3 3 5 2" xfId="10960"/>
    <cellStyle name="40% - Accent1 3 3 5 2 2" xfId="18776"/>
    <cellStyle name="40% - Accent1 3 3 5 3" xfId="14889"/>
    <cellStyle name="40% - Accent1 3 3 6" xfId="10947"/>
    <cellStyle name="40% - Accent1 3 3 6 2" xfId="18763"/>
    <cellStyle name="40% - Accent1 3 3 7" xfId="14876"/>
    <cellStyle name="40% - Accent1 3 4" xfId="1959"/>
    <cellStyle name="40% - Accent1 3 4 2" xfId="1960"/>
    <cellStyle name="40% - Accent1 3 4 2 2" xfId="1961"/>
    <cellStyle name="40% - Accent1 3 4 2 2 2" xfId="1962"/>
    <cellStyle name="40% - Accent1 3 4 2 2 2 2" xfId="10964"/>
    <cellStyle name="40% - Accent1 3 4 2 2 2 2 2" xfId="18780"/>
    <cellStyle name="40% - Accent1 3 4 2 2 2 3" xfId="14893"/>
    <cellStyle name="40% - Accent1 3 4 2 2 3" xfId="10963"/>
    <cellStyle name="40% - Accent1 3 4 2 2 3 2" xfId="18779"/>
    <cellStyle name="40% - Accent1 3 4 2 2 4" xfId="14892"/>
    <cellStyle name="40% - Accent1 3 4 2 3" xfId="1963"/>
    <cellStyle name="40% - Accent1 3 4 2 3 2" xfId="10965"/>
    <cellStyle name="40% - Accent1 3 4 2 3 2 2" xfId="18781"/>
    <cellStyle name="40% - Accent1 3 4 2 3 3" xfId="14894"/>
    <cellStyle name="40% - Accent1 3 4 2 4" xfId="10962"/>
    <cellStyle name="40% - Accent1 3 4 2 4 2" xfId="18778"/>
    <cellStyle name="40% - Accent1 3 4 2 5" xfId="14891"/>
    <cellStyle name="40% - Accent1 3 4 3" xfId="1964"/>
    <cellStyle name="40% - Accent1 3 4 3 2" xfId="1965"/>
    <cellStyle name="40% - Accent1 3 4 3 2 2" xfId="10967"/>
    <cellStyle name="40% - Accent1 3 4 3 2 2 2" xfId="18783"/>
    <cellStyle name="40% - Accent1 3 4 3 2 3" xfId="14896"/>
    <cellStyle name="40% - Accent1 3 4 3 3" xfId="10966"/>
    <cellStyle name="40% - Accent1 3 4 3 3 2" xfId="18782"/>
    <cellStyle name="40% - Accent1 3 4 3 4" xfId="14895"/>
    <cellStyle name="40% - Accent1 3 4 4" xfId="1966"/>
    <cellStyle name="40% - Accent1 3 4 4 2" xfId="10968"/>
    <cellStyle name="40% - Accent1 3 4 4 2 2" xfId="18784"/>
    <cellStyle name="40% - Accent1 3 4 4 3" xfId="14897"/>
    <cellStyle name="40% - Accent1 3 4 5" xfId="10961"/>
    <cellStyle name="40% - Accent1 3 4 5 2" xfId="18777"/>
    <cellStyle name="40% - Accent1 3 4 6" xfId="14890"/>
    <cellStyle name="40% - Accent1 3 5" xfId="1967"/>
    <cellStyle name="40% - Accent1 3 5 2" xfId="1968"/>
    <cellStyle name="40% - Accent1 3 5 2 2" xfId="1969"/>
    <cellStyle name="40% - Accent1 3 5 2 2 2" xfId="1970"/>
    <cellStyle name="40% - Accent1 3 5 2 2 2 2" xfId="10972"/>
    <cellStyle name="40% - Accent1 3 5 2 2 2 2 2" xfId="18788"/>
    <cellStyle name="40% - Accent1 3 5 2 2 2 3" xfId="14901"/>
    <cellStyle name="40% - Accent1 3 5 2 2 3" xfId="10971"/>
    <cellStyle name="40% - Accent1 3 5 2 2 3 2" xfId="18787"/>
    <cellStyle name="40% - Accent1 3 5 2 2 4" xfId="14900"/>
    <cellStyle name="40% - Accent1 3 5 2 3" xfId="1971"/>
    <cellStyle name="40% - Accent1 3 5 2 3 2" xfId="10973"/>
    <cellStyle name="40% - Accent1 3 5 2 3 2 2" xfId="18789"/>
    <cellStyle name="40% - Accent1 3 5 2 3 3" xfId="14902"/>
    <cellStyle name="40% - Accent1 3 5 2 4" xfId="10970"/>
    <cellStyle name="40% - Accent1 3 5 2 4 2" xfId="18786"/>
    <cellStyle name="40% - Accent1 3 5 2 5" xfId="14899"/>
    <cellStyle name="40% - Accent1 3 5 3" xfId="1972"/>
    <cellStyle name="40% - Accent1 3 5 3 2" xfId="1973"/>
    <cellStyle name="40% - Accent1 3 5 3 2 2" xfId="10975"/>
    <cellStyle name="40% - Accent1 3 5 3 2 2 2" xfId="18791"/>
    <cellStyle name="40% - Accent1 3 5 3 2 3" xfId="14904"/>
    <cellStyle name="40% - Accent1 3 5 3 3" xfId="10974"/>
    <cellStyle name="40% - Accent1 3 5 3 3 2" xfId="18790"/>
    <cellStyle name="40% - Accent1 3 5 3 4" xfId="14903"/>
    <cellStyle name="40% - Accent1 3 5 4" xfId="1974"/>
    <cellStyle name="40% - Accent1 3 5 4 2" xfId="1975"/>
    <cellStyle name="40% - Accent1 3 5 4 2 2" xfId="10977"/>
    <cellStyle name="40% - Accent1 3 5 4 2 2 2" xfId="18793"/>
    <cellStyle name="40% - Accent1 3 5 4 2 3" xfId="14906"/>
    <cellStyle name="40% - Accent1 3 5 4 3" xfId="10976"/>
    <cellStyle name="40% - Accent1 3 5 4 3 2" xfId="18792"/>
    <cellStyle name="40% - Accent1 3 5 4 4" xfId="14905"/>
    <cellStyle name="40% - Accent1 3 5 5" xfId="1976"/>
    <cellStyle name="40% - Accent1 3 5 5 2" xfId="10978"/>
    <cellStyle name="40% - Accent1 3 5 5 2 2" xfId="18794"/>
    <cellStyle name="40% - Accent1 3 5 5 3" xfId="14907"/>
    <cellStyle name="40% - Accent1 3 5 6" xfId="10969"/>
    <cellStyle name="40% - Accent1 3 5 6 2" xfId="18785"/>
    <cellStyle name="40% - Accent1 3 5 7" xfId="14898"/>
    <cellStyle name="40% - Accent1 3 6" xfId="1977"/>
    <cellStyle name="40% - Accent1 3 6 2" xfId="1978"/>
    <cellStyle name="40% - Accent1 3 6 2 2" xfId="1979"/>
    <cellStyle name="40% - Accent1 3 6 2 2 2" xfId="10981"/>
    <cellStyle name="40% - Accent1 3 6 2 2 2 2" xfId="18797"/>
    <cellStyle name="40% - Accent1 3 6 2 2 3" xfId="14910"/>
    <cellStyle name="40% - Accent1 3 6 2 3" xfId="10980"/>
    <cellStyle name="40% - Accent1 3 6 2 3 2" xfId="18796"/>
    <cellStyle name="40% - Accent1 3 6 2 4" xfId="14909"/>
    <cellStyle name="40% - Accent1 3 6 3" xfId="1980"/>
    <cellStyle name="40% - Accent1 3 6 3 2" xfId="10982"/>
    <cellStyle name="40% - Accent1 3 6 3 2 2" xfId="18798"/>
    <cellStyle name="40% - Accent1 3 6 3 3" xfId="14911"/>
    <cellStyle name="40% - Accent1 3 6 4" xfId="10979"/>
    <cellStyle name="40% - Accent1 3 6 4 2" xfId="18795"/>
    <cellStyle name="40% - Accent1 3 6 5" xfId="14908"/>
    <cellStyle name="40% - Accent1 3 7" xfId="1981"/>
    <cellStyle name="40% - Accent1 3 7 2" xfId="1982"/>
    <cellStyle name="40% - Accent1 3 7 2 2" xfId="10984"/>
    <cellStyle name="40% - Accent1 3 7 2 2 2" xfId="18800"/>
    <cellStyle name="40% - Accent1 3 7 2 3" xfId="14913"/>
    <cellStyle name="40% - Accent1 3 7 3" xfId="10983"/>
    <cellStyle name="40% - Accent1 3 7 3 2" xfId="18799"/>
    <cellStyle name="40% - Accent1 3 7 4" xfId="14912"/>
    <cellStyle name="40% - Accent1 3 8" xfId="1983"/>
    <cellStyle name="40% - Accent1 3 8 2" xfId="10985"/>
    <cellStyle name="40% - Accent1 3 8 2 2" xfId="18801"/>
    <cellStyle name="40% - Accent1 3 8 3" xfId="14914"/>
    <cellStyle name="40% - Accent1 3 9" xfId="1984"/>
    <cellStyle name="40% - Accent1 3 9 2" xfId="10986"/>
    <cellStyle name="40% - Accent1 3 9 2 2" xfId="18802"/>
    <cellStyle name="40% - Accent1 3 9 3" xfId="14915"/>
    <cellStyle name="40% - Accent1 4" xfId="1985"/>
    <cellStyle name="40% - Accent1 4 2" xfId="1986"/>
    <cellStyle name="40% - Accent1 4 2 2" xfId="1987"/>
    <cellStyle name="40% - Accent1 4 2 2 2" xfId="1988"/>
    <cellStyle name="40% - Accent1 4 2 2 2 2" xfId="1989"/>
    <cellStyle name="40% - Accent1 4 2 2 2 2 2" xfId="10991"/>
    <cellStyle name="40% - Accent1 4 2 2 2 2 2 2" xfId="18807"/>
    <cellStyle name="40% - Accent1 4 2 2 2 2 3" xfId="14920"/>
    <cellStyle name="40% - Accent1 4 2 2 2 3" xfId="10990"/>
    <cellStyle name="40% - Accent1 4 2 2 2 3 2" xfId="18806"/>
    <cellStyle name="40% - Accent1 4 2 2 2 4" xfId="14919"/>
    <cellStyle name="40% - Accent1 4 2 2 3" xfId="1990"/>
    <cellStyle name="40% - Accent1 4 2 2 3 2" xfId="1991"/>
    <cellStyle name="40% - Accent1 4 2 2 3 2 2" xfId="10993"/>
    <cellStyle name="40% - Accent1 4 2 2 3 2 2 2" xfId="18809"/>
    <cellStyle name="40% - Accent1 4 2 2 3 2 3" xfId="14922"/>
    <cellStyle name="40% - Accent1 4 2 2 3 3" xfId="10992"/>
    <cellStyle name="40% - Accent1 4 2 2 3 3 2" xfId="18808"/>
    <cellStyle name="40% - Accent1 4 2 2 3 4" xfId="14921"/>
    <cellStyle name="40% - Accent1 4 2 2 4" xfId="1992"/>
    <cellStyle name="40% - Accent1 4 2 2 4 2" xfId="10994"/>
    <cellStyle name="40% - Accent1 4 2 2 4 2 2" xfId="18810"/>
    <cellStyle name="40% - Accent1 4 2 2 4 3" xfId="14923"/>
    <cellStyle name="40% - Accent1 4 2 2 5" xfId="10989"/>
    <cellStyle name="40% - Accent1 4 2 2 5 2" xfId="18805"/>
    <cellStyle name="40% - Accent1 4 2 2 6" xfId="14918"/>
    <cellStyle name="40% - Accent1 4 2 3" xfId="1993"/>
    <cellStyle name="40% - Accent1 4 2 3 2" xfId="1994"/>
    <cellStyle name="40% - Accent1 4 2 3 2 2" xfId="1995"/>
    <cellStyle name="40% - Accent1 4 2 3 2 2 2" xfId="10997"/>
    <cellStyle name="40% - Accent1 4 2 3 2 2 2 2" xfId="18813"/>
    <cellStyle name="40% - Accent1 4 2 3 2 2 3" xfId="14926"/>
    <cellStyle name="40% - Accent1 4 2 3 2 3" xfId="10996"/>
    <cellStyle name="40% - Accent1 4 2 3 2 3 2" xfId="18812"/>
    <cellStyle name="40% - Accent1 4 2 3 2 4" xfId="14925"/>
    <cellStyle name="40% - Accent1 4 2 3 3" xfId="1996"/>
    <cellStyle name="40% - Accent1 4 2 3 3 2" xfId="10998"/>
    <cellStyle name="40% - Accent1 4 2 3 3 2 2" xfId="18814"/>
    <cellStyle name="40% - Accent1 4 2 3 3 3" xfId="14927"/>
    <cellStyle name="40% - Accent1 4 2 3 4" xfId="10995"/>
    <cellStyle name="40% - Accent1 4 2 3 4 2" xfId="18811"/>
    <cellStyle name="40% - Accent1 4 2 3 5" xfId="14924"/>
    <cellStyle name="40% - Accent1 4 2 4" xfId="1997"/>
    <cellStyle name="40% - Accent1 4 2 4 2" xfId="1998"/>
    <cellStyle name="40% - Accent1 4 2 4 2 2" xfId="11000"/>
    <cellStyle name="40% - Accent1 4 2 4 2 2 2" xfId="18816"/>
    <cellStyle name="40% - Accent1 4 2 4 2 3" xfId="14929"/>
    <cellStyle name="40% - Accent1 4 2 4 3" xfId="10999"/>
    <cellStyle name="40% - Accent1 4 2 4 3 2" xfId="18815"/>
    <cellStyle name="40% - Accent1 4 2 4 4" xfId="14928"/>
    <cellStyle name="40% - Accent1 4 2 5" xfId="1999"/>
    <cellStyle name="40% - Accent1 4 2 5 2" xfId="11001"/>
    <cellStyle name="40% - Accent1 4 2 5 2 2" xfId="18817"/>
    <cellStyle name="40% - Accent1 4 2 5 3" xfId="14930"/>
    <cellStyle name="40% - Accent1 4 2 6" xfId="10988"/>
    <cellStyle name="40% - Accent1 4 2 6 2" xfId="18804"/>
    <cellStyle name="40% - Accent1 4 2 7" xfId="14917"/>
    <cellStyle name="40% - Accent1 4 3" xfId="2000"/>
    <cellStyle name="40% - Accent1 4 3 2" xfId="2001"/>
    <cellStyle name="40% - Accent1 4 3 2 2" xfId="2002"/>
    <cellStyle name="40% - Accent1 4 3 2 2 2" xfId="2003"/>
    <cellStyle name="40% - Accent1 4 3 2 2 2 2" xfId="11005"/>
    <cellStyle name="40% - Accent1 4 3 2 2 2 2 2" xfId="18821"/>
    <cellStyle name="40% - Accent1 4 3 2 2 2 3" xfId="14934"/>
    <cellStyle name="40% - Accent1 4 3 2 2 3" xfId="11004"/>
    <cellStyle name="40% - Accent1 4 3 2 2 3 2" xfId="18820"/>
    <cellStyle name="40% - Accent1 4 3 2 2 4" xfId="14933"/>
    <cellStyle name="40% - Accent1 4 3 2 3" xfId="2004"/>
    <cellStyle name="40% - Accent1 4 3 2 3 2" xfId="11006"/>
    <cellStyle name="40% - Accent1 4 3 2 3 2 2" xfId="18822"/>
    <cellStyle name="40% - Accent1 4 3 2 3 3" xfId="14935"/>
    <cellStyle name="40% - Accent1 4 3 2 4" xfId="11003"/>
    <cellStyle name="40% - Accent1 4 3 2 4 2" xfId="18819"/>
    <cellStyle name="40% - Accent1 4 3 2 5" xfId="14932"/>
    <cellStyle name="40% - Accent1 4 3 3" xfId="2005"/>
    <cellStyle name="40% - Accent1 4 3 3 2" xfId="2006"/>
    <cellStyle name="40% - Accent1 4 3 3 2 2" xfId="11008"/>
    <cellStyle name="40% - Accent1 4 3 3 2 2 2" xfId="18824"/>
    <cellStyle name="40% - Accent1 4 3 3 2 3" xfId="14937"/>
    <cellStyle name="40% - Accent1 4 3 3 3" xfId="11007"/>
    <cellStyle name="40% - Accent1 4 3 3 3 2" xfId="18823"/>
    <cellStyle name="40% - Accent1 4 3 3 4" xfId="14936"/>
    <cellStyle name="40% - Accent1 4 3 4" xfId="2007"/>
    <cellStyle name="40% - Accent1 4 3 4 2" xfId="2008"/>
    <cellStyle name="40% - Accent1 4 3 4 2 2" xfId="11010"/>
    <cellStyle name="40% - Accent1 4 3 4 2 2 2" xfId="18826"/>
    <cellStyle name="40% - Accent1 4 3 4 2 3" xfId="14939"/>
    <cellStyle name="40% - Accent1 4 3 4 3" xfId="11009"/>
    <cellStyle name="40% - Accent1 4 3 4 3 2" xfId="18825"/>
    <cellStyle name="40% - Accent1 4 3 4 4" xfId="14938"/>
    <cellStyle name="40% - Accent1 4 3 5" xfId="2009"/>
    <cellStyle name="40% - Accent1 4 3 5 2" xfId="11011"/>
    <cellStyle name="40% - Accent1 4 3 5 2 2" xfId="18827"/>
    <cellStyle name="40% - Accent1 4 3 5 3" xfId="14940"/>
    <cellStyle name="40% - Accent1 4 3 6" xfId="11002"/>
    <cellStyle name="40% - Accent1 4 3 6 2" xfId="18818"/>
    <cellStyle name="40% - Accent1 4 3 7" xfId="14931"/>
    <cellStyle name="40% - Accent1 4 4" xfId="2010"/>
    <cellStyle name="40% - Accent1 4 4 2" xfId="2011"/>
    <cellStyle name="40% - Accent1 4 4 2 2" xfId="2012"/>
    <cellStyle name="40% - Accent1 4 4 2 2 2" xfId="11014"/>
    <cellStyle name="40% - Accent1 4 4 2 2 2 2" xfId="18830"/>
    <cellStyle name="40% - Accent1 4 4 2 2 3" xfId="14943"/>
    <cellStyle name="40% - Accent1 4 4 2 3" xfId="11013"/>
    <cellStyle name="40% - Accent1 4 4 2 3 2" xfId="18829"/>
    <cellStyle name="40% - Accent1 4 4 2 4" xfId="14942"/>
    <cellStyle name="40% - Accent1 4 4 3" xfId="2013"/>
    <cellStyle name="40% - Accent1 4 4 3 2" xfId="11015"/>
    <cellStyle name="40% - Accent1 4 4 3 2 2" xfId="18831"/>
    <cellStyle name="40% - Accent1 4 4 3 3" xfId="14944"/>
    <cellStyle name="40% - Accent1 4 4 4" xfId="11012"/>
    <cellStyle name="40% - Accent1 4 4 4 2" xfId="18828"/>
    <cellStyle name="40% - Accent1 4 4 5" xfId="14941"/>
    <cellStyle name="40% - Accent1 4 5" xfId="2014"/>
    <cellStyle name="40% - Accent1 4 5 2" xfId="2015"/>
    <cellStyle name="40% - Accent1 4 5 2 2" xfId="11017"/>
    <cellStyle name="40% - Accent1 4 5 2 2 2" xfId="18833"/>
    <cellStyle name="40% - Accent1 4 5 2 3" xfId="14946"/>
    <cellStyle name="40% - Accent1 4 5 3" xfId="11016"/>
    <cellStyle name="40% - Accent1 4 5 3 2" xfId="18832"/>
    <cellStyle name="40% - Accent1 4 5 4" xfId="14945"/>
    <cellStyle name="40% - Accent1 4 6" xfId="2016"/>
    <cellStyle name="40% - Accent1 4 6 2" xfId="11018"/>
    <cellStyle name="40% - Accent1 4 6 2 2" xfId="18834"/>
    <cellStyle name="40% - Accent1 4 6 3" xfId="14947"/>
    <cellStyle name="40% - Accent1 4 7" xfId="10987"/>
    <cellStyle name="40% - Accent1 4 7 2" xfId="18803"/>
    <cellStyle name="40% - Accent1 4 8" xfId="14916"/>
    <cellStyle name="40% - Accent1 5" xfId="2017"/>
    <cellStyle name="40% - Accent1 5 2" xfId="2018"/>
    <cellStyle name="40% - Accent1 5 2 2" xfId="2019"/>
    <cellStyle name="40% - Accent1 5 2 2 2" xfId="2020"/>
    <cellStyle name="40% - Accent1 5 2 2 2 2" xfId="11022"/>
    <cellStyle name="40% - Accent1 5 2 2 2 2 2" xfId="18838"/>
    <cellStyle name="40% - Accent1 5 2 2 2 3" xfId="14951"/>
    <cellStyle name="40% - Accent1 5 2 2 3" xfId="11021"/>
    <cellStyle name="40% - Accent1 5 2 2 3 2" xfId="18837"/>
    <cellStyle name="40% - Accent1 5 2 2 4" xfId="14950"/>
    <cellStyle name="40% - Accent1 5 2 3" xfId="2021"/>
    <cellStyle name="40% - Accent1 5 2 3 2" xfId="2022"/>
    <cellStyle name="40% - Accent1 5 2 3 2 2" xfId="11024"/>
    <cellStyle name="40% - Accent1 5 2 3 2 2 2" xfId="18840"/>
    <cellStyle name="40% - Accent1 5 2 3 2 3" xfId="14953"/>
    <cellStyle name="40% - Accent1 5 2 3 3" xfId="11023"/>
    <cellStyle name="40% - Accent1 5 2 3 3 2" xfId="18839"/>
    <cellStyle name="40% - Accent1 5 2 3 4" xfId="14952"/>
    <cellStyle name="40% - Accent1 5 2 4" xfId="2023"/>
    <cellStyle name="40% - Accent1 5 2 4 2" xfId="11025"/>
    <cellStyle name="40% - Accent1 5 2 4 2 2" xfId="18841"/>
    <cellStyle name="40% - Accent1 5 2 4 3" xfId="14954"/>
    <cellStyle name="40% - Accent1 5 2 5" xfId="11020"/>
    <cellStyle name="40% - Accent1 5 2 5 2" xfId="18836"/>
    <cellStyle name="40% - Accent1 5 2 6" xfId="14949"/>
    <cellStyle name="40% - Accent1 5 3" xfId="2024"/>
    <cellStyle name="40% - Accent1 5 3 2" xfId="2025"/>
    <cellStyle name="40% - Accent1 5 3 2 2" xfId="2026"/>
    <cellStyle name="40% - Accent1 5 3 2 2 2" xfId="11028"/>
    <cellStyle name="40% - Accent1 5 3 2 2 2 2" xfId="18844"/>
    <cellStyle name="40% - Accent1 5 3 2 2 3" xfId="14957"/>
    <cellStyle name="40% - Accent1 5 3 2 3" xfId="11027"/>
    <cellStyle name="40% - Accent1 5 3 2 3 2" xfId="18843"/>
    <cellStyle name="40% - Accent1 5 3 2 4" xfId="14956"/>
    <cellStyle name="40% - Accent1 5 3 3" xfId="2027"/>
    <cellStyle name="40% - Accent1 5 3 3 2" xfId="11029"/>
    <cellStyle name="40% - Accent1 5 3 3 2 2" xfId="18845"/>
    <cellStyle name="40% - Accent1 5 3 3 3" xfId="14958"/>
    <cellStyle name="40% - Accent1 5 3 4" xfId="11026"/>
    <cellStyle name="40% - Accent1 5 3 4 2" xfId="18842"/>
    <cellStyle name="40% - Accent1 5 3 5" xfId="14955"/>
    <cellStyle name="40% - Accent1 5 4" xfId="2028"/>
    <cellStyle name="40% - Accent1 5 4 2" xfId="2029"/>
    <cellStyle name="40% - Accent1 5 4 2 2" xfId="11031"/>
    <cellStyle name="40% - Accent1 5 4 2 2 2" xfId="18847"/>
    <cellStyle name="40% - Accent1 5 4 2 3" xfId="14960"/>
    <cellStyle name="40% - Accent1 5 4 3" xfId="11030"/>
    <cellStyle name="40% - Accent1 5 4 3 2" xfId="18846"/>
    <cellStyle name="40% - Accent1 5 4 4" xfId="14959"/>
    <cellStyle name="40% - Accent1 5 5" xfId="2030"/>
    <cellStyle name="40% - Accent1 5 5 2" xfId="11032"/>
    <cellStyle name="40% - Accent1 5 5 2 2" xfId="18848"/>
    <cellStyle name="40% - Accent1 5 5 3" xfId="14961"/>
    <cellStyle name="40% - Accent1 5 6" xfId="11019"/>
    <cellStyle name="40% - Accent1 5 6 2" xfId="18835"/>
    <cellStyle name="40% - Accent1 5 7" xfId="14948"/>
    <cellStyle name="40% - Accent1 6" xfId="2031"/>
    <cellStyle name="40% - Accent1 6 2" xfId="2032"/>
    <cellStyle name="40% - Accent1 6 2 2" xfId="2033"/>
    <cellStyle name="40% - Accent1 6 2 2 2" xfId="2034"/>
    <cellStyle name="40% - Accent1 6 2 2 2 2" xfId="11036"/>
    <cellStyle name="40% - Accent1 6 2 2 2 2 2" xfId="18852"/>
    <cellStyle name="40% - Accent1 6 2 2 2 3" xfId="14965"/>
    <cellStyle name="40% - Accent1 6 2 2 3" xfId="11035"/>
    <cellStyle name="40% - Accent1 6 2 2 3 2" xfId="18851"/>
    <cellStyle name="40% - Accent1 6 2 2 4" xfId="14964"/>
    <cellStyle name="40% - Accent1 6 2 3" xfId="2035"/>
    <cellStyle name="40% - Accent1 6 2 3 2" xfId="11037"/>
    <cellStyle name="40% - Accent1 6 2 3 2 2" xfId="18853"/>
    <cellStyle name="40% - Accent1 6 2 3 3" xfId="14966"/>
    <cellStyle name="40% - Accent1 6 2 4" xfId="11034"/>
    <cellStyle name="40% - Accent1 6 2 4 2" xfId="18850"/>
    <cellStyle name="40% - Accent1 6 2 5" xfId="14963"/>
    <cellStyle name="40% - Accent1 6 3" xfId="2036"/>
    <cellStyle name="40% - Accent1 6 3 2" xfId="2037"/>
    <cellStyle name="40% - Accent1 6 3 2 2" xfId="11039"/>
    <cellStyle name="40% - Accent1 6 3 2 2 2" xfId="18855"/>
    <cellStyle name="40% - Accent1 6 3 2 3" xfId="14968"/>
    <cellStyle name="40% - Accent1 6 3 3" xfId="11038"/>
    <cellStyle name="40% - Accent1 6 3 3 2" xfId="18854"/>
    <cellStyle name="40% - Accent1 6 3 4" xfId="14967"/>
    <cellStyle name="40% - Accent1 6 4" xfId="2038"/>
    <cellStyle name="40% - Accent1 6 4 2" xfId="11040"/>
    <cellStyle name="40% - Accent1 6 4 2 2" xfId="18856"/>
    <cellStyle name="40% - Accent1 6 4 3" xfId="14969"/>
    <cellStyle name="40% - Accent1 6 5" xfId="11033"/>
    <cellStyle name="40% - Accent1 6 5 2" xfId="18849"/>
    <cellStyle name="40% - Accent1 6 6" xfId="14962"/>
    <cellStyle name="40% - Accent1 7" xfId="2039"/>
    <cellStyle name="40% - Accent1 7 2" xfId="2040"/>
    <cellStyle name="40% - Accent1 7 2 2" xfId="2041"/>
    <cellStyle name="40% - Accent1 7 2 2 2" xfId="2042"/>
    <cellStyle name="40% - Accent1 7 2 2 2 2" xfId="11044"/>
    <cellStyle name="40% - Accent1 7 2 2 2 2 2" xfId="18860"/>
    <cellStyle name="40% - Accent1 7 2 2 2 3" xfId="14973"/>
    <cellStyle name="40% - Accent1 7 2 2 3" xfId="11043"/>
    <cellStyle name="40% - Accent1 7 2 2 3 2" xfId="18859"/>
    <cellStyle name="40% - Accent1 7 2 2 4" xfId="14972"/>
    <cellStyle name="40% - Accent1 7 2 3" xfId="2043"/>
    <cellStyle name="40% - Accent1 7 2 3 2" xfId="11045"/>
    <cellStyle name="40% - Accent1 7 2 3 2 2" xfId="18861"/>
    <cellStyle name="40% - Accent1 7 2 3 3" xfId="14974"/>
    <cellStyle name="40% - Accent1 7 2 4" xfId="11042"/>
    <cellStyle name="40% - Accent1 7 2 4 2" xfId="18858"/>
    <cellStyle name="40% - Accent1 7 2 5" xfId="14971"/>
    <cellStyle name="40% - Accent1 7 3" xfId="2044"/>
    <cellStyle name="40% - Accent1 7 3 2" xfId="2045"/>
    <cellStyle name="40% - Accent1 7 3 2 2" xfId="11047"/>
    <cellStyle name="40% - Accent1 7 3 2 2 2" xfId="18863"/>
    <cellStyle name="40% - Accent1 7 3 2 3" xfId="14976"/>
    <cellStyle name="40% - Accent1 7 3 3" xfId="11046"/>
    <cellStyle name="40% - Accent1 7 3 3 2" xfId="18862"/>
    <cellStyle name="40% - Accent1 7 3 4" xfId="14975"/>
    <cellStyle name="40% - Accent1 7 4" xfId="2046"/>
    <cellStyle name="40% - Accent1 7 4 2" xfId="11048"/>
    <cellStyle name="40% - Accent1 7 4 2 2" xfId="18864"/>
    <cellStyle name="40% - Accent1 7 4 3" xfId="14977"/>
    <cellStyle name="40% - Accent1 7 5" xfId="11041"/>
    <cellStyle name="40% - Accent1 7 5 2" xfId="18857"/>
    <cellStyle name="40% - Accent1 7 6" xfId="14970"/>
    <cellStyle name="40% - Accent1 8" xfId="2047"/>
    <cellStyle name="40% - Accent1 8 2" xfId="2048"/>
    <cellStyle name="40% - Accent1 8 2 2" xfId="2049"/>
    <cellStyle name="40% - Accent1 8 2 2 2" xfId="11051"/>
    <cellStyle name="40% - Accent1 8 2 2 2 2" xfId="18867"/>
    <cellStyle name="40% - Accent1 8 2 2 3" xfId="14980"/>
    <cellStyle name="40% - Accent1 8 2 3" xfId="11050"/>
    <cellStyle name="40% - Accent1 8 2 3 2" xfId="18866"/>
    <cellStyle name="40% - Accent1 8 2 4" xfId="14979"/>
    <cellStyle name="40% - Accent1 8 3" xfId="2050"/>
    <cellStyle name="40% - Accent1 8 3 2" xfId="11052"/>
    <cellStyle name="40% - Accent1 8 3 2 2" xfId="18868"/>
    <cellStyle name="40% - Accent1 8 3 3" xfId="14981"/>
    <cellStyle name="40% - Accent1 8 4" xfId="11049"/>
    <cellStyle name="40% - Accent1 8 4 2" xfId="18865"/>
    <cellStyle name="40% - Accent1 8 5" xfId="14978"/>
    <cellStyle name="40% - Accent1 9" xfId="2051"/>
    <cellStyle name="40% - Accent1 9 2" xfId="2052"/>
    <cellStyle name="40% - Accent1 9 2 2" xfId="11054"/>
    <cellStyle name="40% - Accent1 9 2 2 2" xfId="18870"/>
    <cellStyle name="40% - Accent1 9 2 3" xfId="14983"/>
    <cellStyle name="40% - Accent1 9 3" xfId="11053"/>
    <cellStyle name="40% - Accent1 9 3 2" xfId="18869"/>
    <cellStyle name="40% - Accent1 9 4" xfId="14982"/>
    <cellStyle name="40% - Accent2 10" xfId="2053"/>
    <cellStyle name="40% - Accent2 10 2" xfId="2054"/>
    <cellStyle name="40% - Accent2 10 2 2" xfId="11056"/>
    <cellStyle name="40% - Accent2 10 2 2 2" xfId="18872"/>
    <cellStyle name="40% - Accent2 10 2 3" xfId="14985"/>
    <cellStyle name="40% - Accent2 10 3" xfId="11055"/>
    <cellStyle name="40% - Accent2 10 3 2" xfId="18871"/>
    <cellStyle name="40% - Accent2 10 4" xfId="14984"/>
    <cellStyle name="40% - Accent2 11" xfId="2055"/>
    <cellStyle name="40% - Accent2 11 2" xfId="11057"/>
    <cellStyle name="40% - Accent2 11 2 2" xfId="18873"/>
    <cellStyle name="40% - Accent2 11 3" xfId="14986"/>
    <cellStyle name="40% - Accent2 12" xfId="2056"/>
    <cellStyle name="40% - Accent2 12 2" xfId="11058"/>
    <cellStyle name="40% - Accent2 12 2 2" xfId="18874"/>
    <cellStyle name="40% - Accent2 12 3" xfId="14987"/>
    <cellStyle name="40% - Accent2 2" xfId="2057"/>
    <cellStyle name="40% - Accent2 2 10" xfId="2058"/>
    <cellStyle name="40% - Accent2 2 10 2" xfId="11060"/>
    <cellStyle name="40% - Accent2 2 10 2 2" xfId="18876"/>
    <cellStyle name="40% - Accent2 2 10 3" xfId="14989"/>
    <cellStyle name="40% - Accent2 2 11" xfId="11059"/>
    <cellStyle name="40% - Accent2 2 11 2" xfId="18875"/>
    <cellStyle name="40% - Accent2 2 12" xfId="12940"/>
    <cellStyle name="40% - Accent2 2 13" xfId="14988"/>
    <cellStyle name="40% - Accent2 2 2" xfId="2059"/>
    <cellStyle name="40% - Accent2 2 2 10" xfId="14990"/>
    <cellStyle name="40% - Accent2 2 2 2" xfId="2060"/>
    <cellStyle name="40% - Accent2 2 2 2 2" xfId="2061"/>
    <cellStyle name="40% - Accent2 2 2 2 2 2" xfId="2062"/>
    <cellStyle name="40% - Accent2 2 2 2 2 2 2" xfId="2063"/>
    <cellStyle name="40% - Accent2 2 2 2 2 2 2 2" xfId="2064"/>
    <cellStyle name="40% - Accent2 2 2 2 2 2 2 2 2" xfId="11066"/>
    <cellStyle name="40% - Accent2 2 2 2 2 2 2 2 2 2" xfId="18882"/>
    <cellStyle name="40% - Accent2 2 2 2 2 2 2 2 3" xfId="14995"/>
    <cellStyle name="40% - Accent2 2 2 2 2 2 2 3" xfId="11065"/>
    <cellStyle name="40% - Accent2 2 2 2 2 2 2 3 2" xfId="18881"/>
    <cellStyle name="40% - Accent2 2 2 2 2 2 2 4" xfId="14994"/>
    <cellStyle name="40% - Accent2 2 2 2 2 2 3" xfId="2065"/>
    <cellStyle name="40% - Accent2 2 2 2 2 2 3 2" xfId="2066"/>
    <cellStyle name="40% - Accent2 2 2 2 2 2 3 2 2" xfId="11068"/>
    <cellStyle name="40% - Accent2 2 2 2 2 2 3 2 2 2" xfId="18884"/>
    <cellStyle name="40% - Accent2 2 2 2 2 2 3 2 3" xfId="14997"/>
    <cellStyle name="40% - Accent2 2 2 2 2 2 3 3" xfId="11067"/>
    <cellStyle name="40% - Accent2 2 2 2 2 2 3 3 2" xfId="18883"/>
    <cellStyle name="40% - Accent2 2 2 2 2 2 3 4" xfId="14996"/>
    <cellStyle name="40% - Accent2 2 2 2 2 2 4" xfId="2067"/>
    <cellStyle name="40% - Accent2 2 2 2 2 2 4 2" xfId="11069"/>
    <cellStyle name="40% - Accent2 2 2 2 2 2 4 2 2" xfId="18885"/>
    <cellStyle name="40% - Accent2 2 2 2 2 2 4 3" xfId="14998"/>
    <cellStyle name="40% - Accent2 2 2 2 2 2 5" xfId="11064"/>
    <cellStyle name="40% - Accent2 2 2 2 2 2 5 2" xfId="18880"/>
    <cellStyle name="40% - Accent2 2 2 2 2 2 6" xfId="14993"/>
    <cellStyle name="40% - Accent2 2 2 2 2 3" xfId="2068"/>
    <cellStyle name="40% - Accent2 2 2 2 2 3 2" xfId="2069"/>
    <cellStyle name="40% - Accent2 2 2 2 2 3 2 2" xfId="2070"/>
    <cellStyle name="40% - Accent2 2 2 2 2 3 2 2 2" xfId="11072"/>
    <cellStyle name="40% - Accent2 2 2 2 2 3 2 2 2 2" xfId="18888"/>
    <cellStyle name="40% - Accent2 2 2 2 2 3 2 2 3" xfId="15001"/>
    <cellStyle name="40% - Accent2 2 2 2 2 3 2 3" xfId="11071"/>
    <cellStyle name="40% - Accent2 2 2 2 2 3 2 3 2" xfId="18887"/>
    <cellStyle name="40% - Accent2 2 2 2 2 3 2 4" xfId="15000"/>
    <cellStyle name="40% - Accent2 2 2 2 2 3 3" xfId="2071"/>
    <cellStyle name="40% - Accent2 2 2 2 2 3 3 2" xfId="11073"/>
    <cellStyle name="40% - Accent2 2 2 2 2 3 3 2 2" xfId="18889"/>
    <cellStyle name="40% - Accent2 2 2 2 2 3 3 3" xfId="15002"/>
    <cellStyle name="40% - Accent2 2 2 2 2 3 4" xfId="11070"/>
    <cellStyle name="40% - Accent2 2 2 2 2 3 4 2" xfId="18886"/>
    <cellStyle name="40% - Accent2 2 2 2 2 3 5" xfId="14999"/>
    <cellStyle name="40% - Accent2 2 2 2 2 4" xfId="2072"/>
    <cellStyle name="40% - Accent2 2 2 2 2 4 2" xfId="2073"/>
    <cellStyle name="40% - Accent2 2 2 2 2 4 2 2" xfId="11075"/>
    <cellStyle name="40% - Accent2 2 2 2 2 4 2 2 2" xfId="18891"/>
    <cellStyle name="40% - Accent2 2 2 2 2 4 2 3" xfId="15004"/>
    <cellStyle name="40% - Accent2 2 2 2 2 4 3" xfId="11074"/>
    <cellStyle name="40% - Accent2 2 2 2 2 4 3 2" xfId="18890"/>
    <cellStyle name="40% - Accent2 2 2 2 2 4 4" xfId="15003"/>
    <cellStyle name="40% - Accent2 2 2 2 2 5" xfId="2074"/>
    <cellStyle name="40% - Accent2 2 2 2 2 5 2" xfId="11076"/>
    <cellStyle name="40% - Accent2 2 2 2 2 5 2 2" xfId="18892"/>
    <cellStyle name="40% - Accent2 2 2 2 2 5 3" xfId="15005"/>
    <cellStyle name="40% - Accent2 2 2 2 2 6" xfId="11063"/>
    <cellStyle name="40% - Accent2 2 2 2 2 6 2" xfId="18879"/>
    <cellStyle name="40% - Accent2 2 2 2 2 7" xfId="14992"/>
    <cellStyle name="40% - Accent2 2 2 2 3" xfId="2075"/>
    <cellStyle name="40% - Accent2 2 2 2 3 2" xfId="2076"/>
    <cellStyle name="40% - Accent2 2 2 2 3 2 2" xfId="2077"/>
    <cellStyle name="40% - Accent2 2 2 2 3 2 2 2" xfId="2078"/>
    <cellStyle name="40% - Accent2 2 2 2 3 2 2 2 2" xfId="11080"/>
    <cellStyle name="40% - Accent2 2 2 2 3 2 2 2 2 2" xfId="18896"/>
    <cellStyle name="40% - Accent2 2 2 2 3 2 2 2 3" xfId="15009"/>
    <cellStyle name="40% - Accent2 2 2 2 3 2 2 3" xfId="11079"/>
    <cellStyle name="40% - Accent2 2 2 2 3 2 2 3 2" xfId="18895"/>
    <cellStyle name="40% - Accent2 2 2 2 3 2 2 4" xfId="15008"/>
    <cellStyle name="40% - Accent2 2 2 2 3 2 3" xfId="2079"/>
    <cellStyle name="40% - Accent2 2 2 2 3 2 3 2" xfId="11081"/>
    <cellStyle name="40% - Accent2 2 2 2 3 2 3 2 2" xfId="18897"/>
    <cellStyle name="40% - Accent2 2 2 2 3 2 3 3" xfId="15010"/>
    <cellStyle name="40% - Accent2 2 2 2 3 2 4" xfId="11078"/>
    <cellStyle name="40% - Accent2 2 2 2 3 2 4 2" xfId="18894"/>
    <cellStyle name="40% - Accent2 2 2 2 3 2 5" xfId="15007"/>
    <cellStyle name="40% - Accent2 2 2 2 3 3" xfId="2080"/>
    <cellStyle name="40% - Accent2 2 2 2 3 3 2" xfId="2081"/>
    <cellStyle name="40% - Accent2 2 2 2 3 3 2 2" xfId="11083"/>
    <cellStyle name="40% - Accent2 2 2 2 3 3 2 2 2" xfId="18899"/>
    <cellStyle name="40% - Accent2 2 2 2 3 3 2 3" xfId="15012"/>
    <cellStyle name="40% - Accent2 2 2 2 3 3 3" xfId="11082"/>
    <cellStyle name="40% - Accent2 2 2 2 3 3 3 2" xfId="18898"/>
    <cellStyle name="40% - Accent2 2 2 2 3 3 4" xfId="15011"/>
    <cellStyle name="40% - Accent2 2 2 2 3 4" xfId="2082"/>
    <cellStyle name="40% - Accent2 2 2 2 3 4 2" xfId="2083"/>
    <cellStyle name="40% - Accent2 2 2 2 3 4 2 2" xfId="11085"/>
    <cellStyle name="40% - Accent2 2 2 2 3 4 2 2 2" xfId="18901"/>
    <cellStyle name="40% - Accent2 2 2 2 3 4 2 3" xfId="15014"/>
    <cellStyle name="40% - Accent2 2 2 2 3 4 3" xfId="11084"/>
    <cellStyle name="40% - Accent2 2 2 2 3 4 3 2" xfId="18900"/>
    <cellStyle name="40% - Accent2 2 2 2 3 4 4" xfId="15013"/>
    <cellStyle name="40% - Accent2 2 2 2 3 5" xfId="2084"/>
    <cellStyle name="40% - Accent2 2 2 2 3 5 2" xfId="11086"/>
    <cellStyle name="40% - Accent2 2 2 2 3 5 2 2" xfId="18902"/>
    <cellStyle name="40% - Accent2 2 2 2 3 5 3" xfId="15015"/>
    <cellStyle name="40% - Accent2 2 2 2 3 6" xfId="11077"/>
    <cellStyle name="40% - Accent2 2 2 2 3 6 2" xfId="18893"/>
    <cellStyle name="40% - Accent2 2 2 2 3 7" xfId="15006"/>
    <cellStyle name="40% - Accent2 2 2 2 4" xfId="2085"/>
    <cellStyle name="40% - Accent2 2 2 2 4 2" xfId="2086"/>
    <cellStyle name="40% - Accent2 2 2 2 4 2 2" xfId="2087"/>
    <cellStyle name="40% - Accent2 2 2 2 4 2 2 2" xfId="11089"/>
    <cellStyle name="40% - Accent2 2 2 2 4 2 2 2 2" xfId="18905"/>
    <cellStyle name="40% - Accent2 2 2 2 4 2 2 3" xfId="15018"/>
    <cellStyle name="40% - Accent2 2 2 2 4 2 3" xfId="11088"/>
    <cellStyle name="40% - Accent2 2 2 2 4 2 3 2" xfId="18904"/>
    <cellStyle name="40% - Accent2 2 2 2 4 2 4" xfId="15017"/>
    <cellStyle name="40% - Accent2 2 2 2 4 3" xfId="2088"/>
    <cellStyle name="40% - Accent2 2 2 2 4 3 2" xfId="11090"/>
    <cellStyle name="40% - Accent2 2 2 2 4 3 2 2" xfId="18906"/>
    <cellStyle name="40% - Accent2 2 2 2 4 3 3" xfId="15019"/>
    <cellStyle name="40% - Accent2 2 2 2 4 4" xfId="11087"/>
    <cellStyle name="40% - Accent2 2 2 2 4 4 2" xfId="18903"/>
    <cellStyle name="40% - Accent2 2 2 2 4 5" xfId="15016"/>
    <cellStyle name="40% - Accent2 2 2 2 5" xfId="2089"/>
    <cellStyle name="40% - Accent2 2 2 2 5 2" xfId="2090"/>
    <cellStyle name="40% - Accent2 2 2 2 5 2 2" xfId="11092"/>
    <cellStyle name="40% - Accent2 2 2 2 5 2 2 2" xfId="18908"/>
    <cellStyle name="40% - Accent2 2 2 2 5 2 3" xfId="15021"/>
    <cellStyle name="40% - Accent2 2 2 2 5 3" xfId="11091"/>
    <cellStyle name="40% - Accent2 2 2 2 5 3 2" xfId="18907"/>
    <cellStyle name="40% - Accent2 2 2 2 5 4" xfId="15020"/>
    <cellStyle name="40% - Accent2 2 2 2 6" xfId="2091"/>
    <cellStyle name="40% - Accent2 2 2 2 6 2" xfId="11093"/>
    <cellStyle name="40% - Accent2 2 2 2 6 2 2" xfId="18909"/>
    <cellStyle name="40% - Accent2 2 2 2 6 3" xfId="15022"/>
    <cellStyle name="40% - Accent2 2 2 2 7" xfId="11062"/>
    <cellStyle name="40% - Accent2 2 2 2 7 2" xfId="18878"/>
    <cellStyle name="40% - Accent2 2 2 2 8" xfId="14991"/>
    <cellStyle name="40% - Accent2 2 2 3" xfId="2092"/>
    <cellStyle name="40% - Accent2 2 2 3 2" xfId="2093"/>
    <cellStyle name="40% - Accent2 2 2 3 2 2" xfId="2094"/>
    <cellStyle name="40% - Accent2 2 2 3 2 2 2" xfId="2095"/>
    <cellStyle name="40% - Accent2 2 2 3 2 2 2 2" xfId="11097"/>
    <cellStyle name="40% - Accent2 2 2 3 2 2 2 2 2" xfId="18913"/>
    <cellStyle name="40% - Accent2 2 2 3 2 2 2 3" xfId="15026"/>
    <cellStyle name="40% - Accent2 2 2 3 2 2 3" xfId="11096"/>
    <cellStyle name="40% - Accent2 2 2 3 2 2 3 2" xfId="18912"/>
    <cellStyle name="40% - Accent2 2 2 3 2 2 4" xfId="15025"/>
    <cellStyle name="40% - Accent2 2 2 3 2 3" xfId="2096"/>
    <cellStyle name="40% - Accent2 2 2 3 2 3 2" xfId="2097"/>
    <cellStyle name="40% - Accent2 2 2 3 2 3 2 2" xfId="11099"/>
    <cellStyle name="40% - Accent2 2 2 3 2 3 2 2 2" xfId="18915"/>
    <cellStyle name="40% - Accent2 2 2 3 2 3 2 3" xfId="15028"/>
    <cellStyle name="40% - Accent2 2 2 3 2 3 3" xfId="11098"/>
    <cellStyle name="40% - Accent2 2 2 3 2 3 3 2" xfId="18914"/>
    <cellStyle name="40% - Accent2 2 2 3 2 3 4" xfId="15027"/>
    <cellStyle name="40% - Accent2 2 2 3 2 4" xfId="2098"/>
    <cellStyle name="40% - Accent2 2 2 3 2 4 2" xfId="11100"/>
    <cellStyle name="40% - Accent2 2 2 3 2 4 2 2" xfId="18916"/>
    <cellStyle name="40% - Accent2 2 2 3 2 4 3" xfId="15029"/>
    <cellStyle name="40% - Accent2 2 2 3 2 5" xfId="11095"/>
    <cellStyle name="40% - Accent2 2 2 3 2 5 2" xfId="18911"/>
    <cellStyle name="40% - Accent2 2 2 3 2 6" xfId="15024"/>
    <cellStyle name="40% - Accent2 2 2 3 3" xfId="2099"/>
    <cellStyle name="40% - Accent2 2 2 3 3 2" xfId="2100"/>
    <cellStyle name="40% - Accent2 2 2 3 3 2 2" xfId="2101"/>
    <cellStyle name="40% - Accent2 2 2 3 3 2 2 2" xfId="11103"/>
    <cellStyle name="40% - Accent2 2 2 3 3 2 2 2 2" xfId="18919"/>
    <cellStyle name="40% - Accent2 2 2 3 3 2 2 3" xfId="15032"/>
    <cellStyle name="40% - Accent2 2 2 3 3 2 3" xfId="11102"/>
    <cellStyle name="40% - Accent2 2 2 3 3 2 3 2" xfId="18918"/>
    <cellStyle name="40% - Accent2 2 2 3 3 2 4" xfId="15031"/>
    <cellStyle name="40% - Accent2 2 2 3 3 3" xfId="2102"/>
    <cellStyle name="40% - Accent2 2 2 3 3 3 2" xfId="11104"/>
    <cellStyle name="40% - Accent2 2 2 3 3 3 2 2" xfId="18920"/>
    <cellStyle name="40% - Accent2 2 2 3 3 3 3" xfId="15033"/>
    <cellStyle name="40% - Accent2 2 2 3 3 4" xfId="11101"/>
    <cellStyle name="40% - Accent2 2 2 3 3 4 2" xfId="18917"/>
    <cellStyle name="40% - Accent2 2 2 3 3 5" xfId="15030"/>
    <cellStyle name="40% - Accent2 2 2 3 4" xfId="2103"/>
    <cellStyle name="40% - Accent2 2 2 3 4 2" xfId="2104"/>
    <cellStyle name="40% - Accent2 2 2 3 4 2 2" xfId="11106"/>
    <cellStyle name="40% - Accent2 2 2 3 4 2 2 2" xfId="18922"/>
    <cellStyle name="40% - Accent2 2 2 3 4 2 3" xfId="15035"/>
    <cellStyle name="40% - Accent2 2 2 3 4 3" xfId="11105"/>
    <cellStyle name="40% - Accent2 2 2 3 4 3 2" xfId="18921"/>
    <cellStyle name="40% - Accent2 2 2 3 4 4" xfId="15034"/>
    <cellStyle name="40% - Accent2 2 2 3 5" xfId="2105"/>
    <cellStyle name="40% - Accent2 2 2 3 5 2" xfId="11107"/>
    <cellStyle name="40% - Accent2 2 2 3 5 2 2" xfId="18923"/>
    <cellStyle name="40% - Accent2 2 2 3 5 3" xfId="15036"/>
    <cellStyle name="40% - Accent2 2 2 3 6" xfId="11094"/>
    <cellStyle name="40% - Accent2 2 2 3 6 2" xfId="18910"/>
    <cellStyle name="40% - Accent2 2 2 3 7" xfId="15023"/>
    <cellStyle name="40% - Accent2 2 2 4" xfId="2106"/>
    <cellStyle name="40% - Accent2 2 2 4 2" xfId="2107"/>
    <cellStyle name="40% - Accent2 2 2 4 2 2" xfId="2108"/>
    <cellStyle name="40% - Accent2 2 2 4 2 2 2" xfId="2109"/>
    <cellStyle name="40% - Accent2 2 2 4 2 2 2 2" xfId="11111"/>
    <cellStyle name="40% - Accent2 2 2 4 2 2 2 2 2" xfId="18927"/>
    <cellStyle name="40% - Accent2 2 2 4 2 2 2 3" xfId="15040"/>
    <cellStyle name="40% - Accent2 2 2 4 2 2 3" xfId="11110"/>
    <cellStyle name="40% - Accent2 2 2 4 2 2 3 2" xfId="18926"/>
    <cellStyle name="40% - Accent2 2 2 4 2 2 4" xfId="15039"/>
    <cellStyle name="40% - Accent2 2 2 4 2 3" xfId="2110"/>
    <cellStyle name="40% - Accent2 2 2 4 2 3 2" xfId="11112"/>
    <cellStyle name="40% - Accent2 2 2 4 2 3 2 2" xfId="18928"/>
    <cellStyle name="40% - Accent2 2 2 4 2 3 3" xfId="15041"/>
    <cellStyle name="40% - Accent2 2 2 4 2 4" xfId="11109"/>
    <cellStyle name="40% - Accent2 2 2 4 2 4 2" xfId="18925"/>
    <cellStyle name="40% - Accent2 2 2 4 2 5" xfId="15038"/>
    <cellStyle name="40% - Accent2 2 2 4 3" xfId="2111"/>
    <cellStyle name="40% - Accent2 2 2 4 3 2" xfId="2112"/>
    <cellStyle name="40% - Accent2 2 2 4 3 2 2" xfId="11114"/>
    <cellStyle name="40% - Accent2 2 2 4 3 2 2 2" xfId="18930"/>
    <cellStyle name="40% - Accent2 2 2 4 3 2 3" xfId="15043"/>
    <cellStyle name="40% - Accent2 2 2 4 3 3" xfId="11113"/>
    <cellStyle name="40% - Accent2 2 2 4 3 3 2" xfId="18929"/>
    <cellStyle name="40% - Accent2 2 2 4 3 4" xfId="15042"/>
    <cellStyle name="40% - Accent2 2 2 4 4" xfId="2113"/>
    <cellStyle name="40% - Accent2 2 2 4 4 2" xfId="11115"/>
    <cellStyle name="40% - Accent2 2 2 4 4 2 2" xfId="18931"/>
    <cellStyle name="40% - Accent2 2 2 4 4 3" xfId="15044"/>
    <cellStyle name="40% - Accent2 2 2 4 5" xfId="11108"/>
    <cellStyle name="40% - Accent2 2 2 4 5 2" xfId="18924"/>
    <cellStyle name="40% - Accent2 2 2 4 6" xfId="15037"/>
    <cellStyle name="40% - Accent2 2 2 5" xfId="2114"/>
    <cellStyle name="40% - Accent2 2 2 5 2" xfId="2115"/>
    <cellStyle name="40% - Accent2 2 2 5 2 2" xfId="2116"/>
    <cellStyle name="40% - Accent2 2 2 5 2 2 2" xfId="2117"/>
    <cellStyle name="40% - Accent2 2 2 5 2 2 2 2" xfId="11119"/>
    <cellStyle name="40% - Accent2 2 2 5 2 2 2 2 2" xfId="18935"/>
    <cellStyle name="40% - Accent2 2 2 5 2 2 2 3" xfId="15048"/>
    <cellStyle name="40% - Accent2 2 2 5 2 2 3" xfId="11118"/>
    <cellStyle name="40% - Accent2 2 2 5 2 2 3 2" xfId="18934"/>
    <cellStyle name="40% - Accent2 2 2 5 2 2 4" xfId="15047"/>
    <cellStyle name="40% - Accent2 2 2 5 2 3" xfId="2118"/>
    <cellStyle name="40% - Accent2 2 2 5 2 3 2" xfId="11120"/>
    <cellStyle name="40% - Accent2 2 2 5 2 3 2 2" xfId="18936"/>
    <cellStyle name="40% - Accent2 2 2 5 2 3 3" xfId="15049"/>
    <cellStyle name="40% - Accent2 2 2 5 2 4" xfId="11117"/>
    <cellStyle name="40% - Accent2 2 2 5 2 4 2" xfId="18933"/>
    <cellStyle name="40% - Accent2 2 2 5 2 5" xfId="15046"/>
    <cellStyle name="40% - Accent2 2 2 5 3" xfId="2119"/>
    <cellStyle name="40% - Accent2 2 2 5 3 2" xfId="2120"/>
    <cellStyle name="40% - Accent2 2 2 5 3 2 2" xfId="11122"/>
    <cellStyle name="40% - Accent2 2 2 5 3 2 2 2" xfId="18938"/>
    <cellStyle name="40% - Accent2 2 2 5 3 2 3" xfId="15051"/>
    <cellStyle name="40% - Accent2 2 2 5 3 3" xfId="11121"/>
    <cellStyle name="40% - Accent2 2 2 5 3 3 2" xfId="18937"/>
    <cellStyle name="40% - Accent2 2 2 5 3 4" xfId="15050"/>
    <cellStyle name="40% - Accent2 2 2 5 4" xfId="2121"/>
    <cellStyle name="40% - Accent2 2 2 5 4 2" xfId="2122"/>
    <cellStyle name="40% - Accent2 2 2 5 4 2 2" xfId="11124"/>
    <cellStyle name="40% - Accent2 2 2 5 4 2 2 2" xfId="18940"/>
    <cellStyle name="40% - Accent2 2 2 5 4 2 3" xfId="15053"/>
    <cellStyle name="40% - Accent2 2 2 5 4 3" xfId="11123"/>
    <cellStyle name="40% - Accent2 2 2 5 4 3 2" xfId="18939"/>
    <cellStyle name="40% - Accent2 2 2 5 4 4" xfId="15052"/>
    <cellStyle name="40% - Accent2 2 2 5 5" xfId="2123"/>
    <cellStyle name="40% - Accent2 2 2 5 5 2" xfId="11125"/>
    <cellStyle name="40% - Accent2 2 2 5 5 2 2" xfId="18941"/>
    <cellStyle name="40% - Accent2 2 2 5 5 3" xfId="15054"/>
    <cellStyle name="40% - Accent2 2 2 5 6" xfId="11116"/>
    <cellStyle name="40% - Accent2 2 2 5 6 2" xfId="18932"/>
    <cellStyle name="40% - Accent2 2 2 5 7" xfId="15045"/>
    <cellStyle name="40% - Accent2 2 2 6" xfId="2124"/>
    <cellStyle name="40% - Accent2 2 2 6 2" xfId="2125"/>
    <cellStyle name="40% - Accent2 2 2 6 2 2" xfId="2126"/>
    <cellStyle name="40% - Accent2 2 2 6 2 2 2" xfId="11128"/>
    <cellStyle name="40% - Accent2 2 2 6 2 2 2 2" xfId="18944"/>
    <cellStyle name="40% - Accent2 2 2 6 2 2 3" xfId="15057"/>
    <cellStyle name="40% - Accent2 2 2 6 2 3" xfId="11127"/>
    <cellStyle name="40% - Accent2 2 2 6 2 3 2" xfId="18943"/>
    <cellStyle name="40% - Accent2 2 2 6 2 4" xfId="15056"/>
    <cellStyle name="40% - Accent2 2 2 6 3" xfId="2127"/>
    <cellStyle name="40% - Accent2 2 2 6 3 2" xfId="11129"/>
    <cellStyle name="40% - Accent2 2 2 6 3 2 2" xfId="18945"/>
    <cellStyle name="40% - Accent2 2 2 6 3 3" xfId="15058"/>
    <cellStyle name="40% - Accent2 2 2 6 4" xfId="11126"/>
    <cellStyle name="40% - Accent2 2 2 6 4 2" xfId="18942"/>
    <cellStyle name="40% - Accent2 2 2 6 5" xfId="15055"/>
    <cellStyle name="40% - Accent2 2 2 7" xfId="2128"/>
    <cellStyle name="40% - Accent2 2 2 7 2" xfId="2129"/>
    <cellStyle name="40% - Accent2 2 2 7 2 2" xfId="11131"/>
    <cellStyle name="40% - Accent2 2 2 7 2 2 2" xfId="18947"/>
    <cellStyle name="40% - Accent2 2 2 7 2 3" xfId="15060"/>
    <cellStyle name="40% - Accent2 2 2 7 3" xfId="11130"/>
    <cellStyle name="40% - Accent2 2 2 7 3 2" xfId="18946"/>
    <cellStyle name="40% - Accent2 2 2 7 4" xfId="15059"/>
    <cellStyle name="40% - Accent2 2 2 8" xfId="2130"/>
    <cellStyle name="40% - Accent2 2 2 8 2" xfId="11132"/>
    <cellStyle name="40% - Accent2 2 2 8 2 2" xfId="18948"/>
    <cellStyle name="40% - Accent2 2 2 8 3" xfId="15061"/>
    <cellStyle name="40% - Accent2 2 2 9" xfId="11061"/>
    <cellStyle name="40% - Accent2 2 2 9 2" xfId="18877"/>
    <cellStyle name="40% - Accent2 2 3" xfId="2131"/>
    <cellStyle name="40% - Accent2 2 3 2" xfId="2132"/>
    <cellStyle name="40% - Accent2 2 3 2 2" xfId="2133"/>
    <cellStyle name="40% - Accent2 2 3 2 2 2" xfId="2134"/>
    <cellStyle name="40% - Accent2 2 3 2 2 2 2" xfId="2135"/>
    <cellStyle name="40% - Accent2 2 3 2 2 2 2 2" xfId="11137"/>
    <cellStyle name="40% - Accent2 2 3 2 2 2 2 2 2" xfId="18953"/>
    <cellStyle name="40% - Accent2 2 3 2 2 2 2 3" xfId="15066"/>
    <cellStyle name="40% - Accent2 2 3 2 2 2 3" xfId="11136"/>
    <cellStyle name="40% - Accent2 2 3 2 2 2 3 2" xfId="18952"/>
    <cellStyle name="40% - Accent2 2 3 2 2 2 4" xfId="15065"/>
    <cellStyle name="40% - Accent2 2 3 2 2 3" xfId="2136"/>
    <cellStyle name="40% - Accent2 2 3 2 2 3 2" xfId="2137"/>
    <cellStyle name="40% - Accent2 2 3 2 2 3 2 2" xfId="11139"/>
    <cellStyle name="40% - Accent2 2 3 2 2 3 2 2 2" xfId="18955"/>
    <cellStyle name="40% - Accent2 2 3 2 2 3 2 3" xfId="15068"/>
    <cellStyle name="40% - Accent2 2 3 2 2 3 3" xfId="11138"/>
    <cellStyle name="40% - Accent2 2 3 2 2 3 3 2" xfId="18954"/>
    <cellStyle name="40% - Accent2 2 3 2 2 3 4" xfId="15067"/>
    <cellStyle name="40% - Accent2 2 3 2 2 4" xfId="2138"/>
    <cellStyle name="40% - Accent2 2 3 2 2 4 2" xfId="11140"/>
    <cellStyle name="40% - Accent2 2 3 2 2 4 2 2" xfId="18956"/>
    <cellStyle name="40% - Accent2 2 3 2 2 4 3" xfId="15069"/>
    <cellStyle name="40% - Accent2 2 3 2 2 5" xfId="11135"/>
    <cellStyle name="40% - Accent2 2 3 2 2 5 2" xfId="18951"/>
    <cellStyle name="40% - Accent2 2 3 2 2 6" xfId="15064"/>
    <cellStyle name="40% - Accent2 2 3 2 3" xfId="2139"/>
    <cellStyle name="40% - Accent2 2 3 2 3 2" xfId="2140"/>
    <cellStyle name="40% - Accent2 2 3 2 3 2 2" xfId="2141"/>
    <cellStyle name="40% - Accent2 2 3 2 3 2 2 2" xfId="11143"/>
    <cellStyle name="40% - Accent2 2 3 2 3 2 2 2 2" xfId="18959"/>
    <cellStyle name="40% - Accent2 2 3 2 3 2 2 3" xfId="15072"/>
    <cellStyle name="40% - Accent2 2 3 2 3 2 3" xfId="11142"/>
    <cellStyle name="40% - Accent2 2 3 2 3 2 3 2" xfId="18958"/>
    <cellStyle name="40% - Accent2 2 3 2 3 2 4" xfId="15071"/>
    <cellStyle name="40% - Accent2 2 3 2 3 3" xfId="2142"/>
    <cellStyle name="40% - Accent2 2 3 2 3 3 2" xfId="11144"/>
    <cellStyle name="40% - Accent2 2 3 2 3 3 2 2" xfId="18960"/>
    <cellStyle name="40% - Accent2 2 3 2 3 3 3" xfId="15073"/>
    <cellStyle name="40% - Accent2 2 3 2 3 4" xfId="11141"/>
    <cellStyle name="40% - Accent2 2 3 2 3 4 2" xfId="18957"/>
    <cellStyle name="40% - Accent2 2 3 2 3 5" xfId="15070"/>
    <cellStyle name="40% - Accent2 2 3 2 4" xfId="2143"/>
    <cellStyle name="40% - Accent2 2 3 2 4 2" xfId="2144"/>
    <cellStyle name="40% - Accent2 2 3 2 4 2 2" xfId="11146"/>
    <cellStyle name="40% - Accent2 2 3 2 4 2 2 2" xfId="18962"/>
    <cellStyle name="40% - Accent2 2 3 2 4 2 3" xfId="15075"/>
    <cellStyle name="40% - Accent2 2 3 2 4 3" xfId="11145"/>
    <cellStyle name="40% - Accent2 2 3 2 4 3 2" xfId="18961"/>
    <cellStyle name="40% - Accent2 2 3 2 4 4" xfId="15074"/>
    <cellStyle name="40% - Accent2 2 3 2 5" xfId="2145"/>
    <cellStyle name="40% - Accent2 2 3 2 5 2" xfId="11147"/>
    <cellStyle name="40% - Accent2 2 3 2 5 2 2" xfId="18963"/>
    <cellStyle name="40% - Accent2 2 3 2 5 3" xfId="15076"/>
    <cellStyle name="40% - Accent2 2 3 2 6" xfId="11134"/>
    <cellStyle name="40% - Accent2 2 3 2 6 2" xfId="18950"/>
    <cellStyle name="40% - Accent2 2 3 2 7" xfId="15063"/>
    <cellStyle name="40% - Accent2 2 3 3" xfId="2146"/>
    <cellStyle name="40% - Accent2 2 3 3 2" xfId="2147"/>
    <cellStyle name="40% - Accent2 2 3 3 2 2" xfId="2148"/>
    <cellStyle name="40% - Accent2 2 3 3 2 2 2" xfId="2149"/>
    <cellStyle name="40% - Accent2 2 3 3 2 2 2 2" xfId="11151"/>
    <cellStyle name="40% - Accent2 2 3 3 2 2 2 2 2" xfId="18967"/>
    <cellStyle name="40% - Accent2 2 3 3 2 2 2 3" xfId="15080"/>
    <cellStyle name="40% - Accent2 2 3 3 2 2 3" xfId="11150"/>
    <cellStyle name="40% - Accent2 2 3 3 2 2 3 2" xfId="18966"/>
    <cellStyle name="40% - Accent2 2 3 3 2 2 4" xfId="15079"/>
    <cellStyle name="40% - Accent2 2 3 3 2 3" xfId="2150"/>
    <cellStyle name="40% - Accent2 2 3 3 2 3 2" xfId="11152"/>
    <cellStyle name="40% - Accent2 2 3 3 2 3 2 2" xfId="18968"/>
    <cellStyle name="40% - Accent2 2 3 3 2 3 3" xfId="15081"/>
    <cellStyle name="40% - Accent2 2 3 3 2 4" xfId="11149"/>
    <cellStyle name="40% - Accent2 2 3 3 2 4 2" xfId="18965"/>
    <cellStyle name="40% - Accent2 2 3 3 2 5" xfId="15078"/>
    <cellStyle name="40% - Accent2 2 3 3 3" xfId="2151"/>
    <cellStyle name="40% - Accent2 2 3 3 3 2" xfId="2152"/>
    <cellStyle name="40% - Accent2 2 3 3 3 2 2" xfId="11154"/>
    <cellStyle name="40% - Accent2 2 3 3 3 2 2 2" xfId="18970"/>
    <cellStyle name="40% - Accent2 2 3 3 3 2 3" xfId="15083"/>
    <cellStyle name="40% - Accent2 2 3 3 3 3" xfId="11153"/>
    <cellStyle name="40% - Accent2 2 3 3 3 3 2" xfId="18969"/>
    <cellStyle name="40% - Accent2 2 3 3 3 4" xfId="15082"/>
    <cellStyle name="40% - Accent2 2 3 3 4" xfId="2153"/>
    <cellStyle name="40% - Accent2 2 3 3 4 2" xfId="2154"/>
    <cellStyle name="40% - Accent2 2 3 3 4 2 2" xfId="11156"/>
    <cellStyle name="40% - Accent2 2 3 3 4 2 2 2" xfId="18972"/>
    <cellStyle name="40% - Accent2 2 3 3 4 2 3" xfId="15085"/>
    <cellStyle name="40% - Accent2 2 3 3 4 3" xfId="11155"/>
    <cellStyle name="40% - Accent2 2 3 3 4 3 2" xfId="18971"/>
    <cellStyle name="40% - Accent2 2 3 3 4 4" xfId="15084"/>
    <cellStyle name="40% - Accent2 2 3 3 5" xfId="2155"/>
    <cellStyle name="40% - Accent2 2 3 3 5 2" xfId="11157"/>
    <cellStyle name="40% - Accent2 2 3 3 5 2 2" xfId="18973"/>
    <cellStyle name="40% - Accent2 2 3 3 5 3" xfId="15086"/>
    <cellStyle name="40% - Accent2 2 3 3 6" xfId="11148"/>
    <cellStyle name="40% - Accent2 2 3 3 6 2" xfId="18964"/>
    <cellStyle name="40% - Accent2 2 3 3 7" xfId="15077"/>
    <cellStyle name="40% - Accent2 2 3 4" xfId="2156"/>
    <cellStyle name="40% - Accent2 2 3 4 2" xfId="2157"/>
    <cellStyle name="40% - Accent2 2 3 4 2 2" xfId="2158"/>
    <cellStyle name="40% - Accent2 2 3 4 2 2 2" xfId="11160"/>
    <cellStyle name="40% - Accent2 2 3 4 2 2 2 2" xfId="18976"/>
    <cellStyle name="40% - Accent2 2 3 4 2 2 3" xfId="15089"/>
    <cellStyle name="40% - Accent2 2 3 4 2 3" xfId="11159"/>
    <cellStyle name="40% - Accent2 2 3 4 2 3 2" xfId="18975"/>
    <cellStyle name="40% - Accent2 2 3 4 2 4" xfId="15088"/>
    <cellStyle name="40% - Accent2 2 3 4 3" xfId="2159"/>
    <cellStyle name="40% - Accent2 2 3 4 3 2" xfId="11161"/>
    <cellStyle name="40% - Accent2 2 3 4 3 2 2" xfId="18977"/>
    <cellStyle name="40% - Accent2 2 3 4 3 3" xfId="15090"/>
    <cellStyle name="40% - Accent2 2 3 4 4" xfId="11158"/>
    <cellStyle name="40% - Accent2 2 3 4 4 2" xfId="18974"/>
    <cellStyle name="40% - Accent2 2 3 4 5" xfId="15087"/>
    <cellStyle name="40% - Accent2 2 3 5" xfId="2160"/>
    <cellStyle name="40% - Accent2 2 3 5 2" xfId="2161"/>
    <cellStyle name="40% - Accent2 2 3 5 2 2" xfId="11163"/>
    <cellStyle name="40% - Accent2 2 3 5 2 2 2" xfId="18979"/>
    <cellStyle name="40% - Accent2 2 3 5 2 3" xfId="15092"/>
    <cellStyle name="40% - Accent2 2 3 5 3" xfId="11162"/>
    <cellStyle name="40% - Accent2 2 3 5 3 2" xfId="18978"/>
    <cellStyle name="40% - Accent2 2 3 5 4" xfId="15091"/>
    <cellStyle name="40% - Accent2 2 3 6" xfId="2162"/>
    <cellStyle name="40% - Accent2 2 3 6 2" xfId="11164"/>
    <cellStyle name="40% - Accent2 2 3 6 2 2" xfId="18980"/>
    <cellStyle name="40% - Accent2 2 3 6 3" xfId="15093"/>
    <cellStyle name="40% - Accent2 2 3 7" xfId="11133"/>
    <cellStyle name="40% - Accent2 2 3 7 2" xfId="18949"/>
    <cellStyle name="40% - Accent2 2 3 8" xfId="15062"/>
    <cellStyle name="40% - Accent2 2 4" xfId="2163"/>
    <cellStyle name="40% - Accent2 2 4 2" xfId="2164"/>
    <cellStyle name="40% - Accent2 2 4 2 2" xfId="2165"/>
    <cellStyle name="40% - Accent2 2 4 2 2 2" xfId="2166"/>
    <cellStyle name="40% - Accent2 2 4 2 2 2 2" xfId="11168"/>
    <cellStyle name="40% - Accent2 2 4 2 2 2 2 2" xfId="18984"/>
    <cellStyle name="40% - Accent2 2 4 2 2 2 3" xfId="15097"/>
    <cellStyle name="40% - Accent2 2 4 2 2 3" xfId="11167"/>
    <cellStyle name="40% - Accent2 2 4 2 2 3 2" xfId="18983"/>
    <cellStyle name="40% - Accent2 2 4 2 2 4" xfId="15096"/>
    <cellStyle name="40% - Accent2 2 4 2 3" xfId="2167"/>
    <cellStyle name="40% - Accent2 2 4 2 3 2" xfId="2168"/>
    <cellStyle name="40% - Accent2 2 4 2 3 2 2" xfId="11170"/>
    <cellStyle name="40% - Accent2 2 4 2 3 2 2 2" xfId="18986"/>
    <cellStyle name="40% - Accent2 2 4 2 3 2 3" xfId="15099"/>
    <cellStyle name="40% - Accent2 2 4 2 3 3" xfId="11169"/>
    <cellStyle name="40% - Accent2 2 4 2 3 3 2" xfId="18985"/>
    <cellStyle name="40% - Accent2 2 4 2 3 4" xfId="15098"/>
    <cellStyle name="40% - Accent2 2 4 2 4" xfId="2169"/>
    <cellStyle name="40% - Accent2 2 4 2 4 2" xfId="11171"/>
    <cellStyle name="40% - Accent2 2 4 2 4 2 2" xfId="18987"/>
    <cellStyle name="40% - Accent2 2 4 2 4 3" xfId="15100"/>
    <cellStyle name="40% - Accent2 2 4 2 5" xfId="11166"/>
    <cellStyle name="40% - Accent2 2 4 2 5 2" xfId="18982"/>
    <cellStyle name="40% - Accent2 2 4 2 6" xfId="15095"/>
    <cellStyle name="40% - Accent2 2 4 3" xfId="2170"/>
    <cellStyle name="40% - Accent2 2 4 3 2" xfId="2171"/>
    <cellStyle name="40% - Accent2 2 4 3 2 2" xfId="2172"/>
    <cellStyle name="40% - Accent2 2 4 3 2 2 2" xfId="11174"/>
    <cellStyle name="40% - Accent2 2 4 3 2 2 2 2" xfId="18990"/>
    <cellStyle name="40% - Accent2 2 4 3 2 2 3" xfId="15103"/>
    <cellStyle name="40% - Accent2 2 4 3 2 3" xfId="11173"/>
    <cellStyle name="40% - Accent2 2 4 3 2 3 2" xfId="18989"/>
    <cellStyle name="40% - Accent2 2 4 3 2 4" xfId="15102"/>
    <cellStyle name="40% - Accent2 2 4 3 3" xfId="2173"/>
    <cellStyle name="40% - Accent2 2 4 3 3 2" xfId="11175"/>
    <cellStyle name="40% - Accent2 2 4 3 3 2 2" xfId="18991"/>
    <cellStyle name="40% - Accent2 2 4 3 3 3" xfId="15104"/>
    <cellStyle name="40% - Accent2 2 4 3 4" xfId="11172"/>
    <cellStyle name="40% - Accent2 2 4 3 4 2" xfId="18988"/>
    <cellStyle name="40% - Accent2 2 4 3 5" xfId="15101"/>
    <cellStyle name="40% - Accent2 2 4 4" xfId="2174"/>
    <cellStyle name="40% - Accent2 2 4 4 2" xfId="2175"/>
    <cellStyle name="40% - Accent2 2 4 4 2 2" xfId="11177"/>
    <cellStyle name="40% - Accent2 2 4 4 2 2 2" xfId="18993"/>
    <cellStyle name="40% - Accent2 2 4 4 2 3" xfId="15106"/>
    <cellStyle name="40% - Accent2 2 4 4 3" xfId="11176"/>
    <cellStyle name="40% - Accent2 2 4 4 3 2" xfId="18992"/>
    <cellStyle name="40% - Accent2 2 4 4 4" xfId="15105"/>
    <cellStyle name="40% - Accent2 2 4 5" xfId="2176"/>
    <cellStyle name="40% - Accent2 2 4 5 2" xfId="11178"/>
    <cellStyle name="40% - Accent2 2 4 5 2 2" xfId="18994"/>
    <cellStyle name="40% - Accent2 2 4 5 3" xfId="15107"/>
    <cellStyle name="40% - Accent2 2 4 6" xfId="11165"/>
    <cellStyle name="40% - Accent2 2 4 6 2" xfId="18981"/>
    <cellStyle name="40% - Accent2 2 4 7" xfId="15094"/>
    <cellStyle name="40% - Accent2 2 5" xfId="2177"/>
    <cellStyle name="40% - Accent2 2 5 2" xfId="2178"/>
    <cellStyle name="40% - Accent2 2 5 2 2" xfId="2179"/>
    <cellStyle name="40% - Accent2 2 5 2 2 2" xfId="2180"/>
    <cellStyle name="40% - Accent2 2 5 2 2 2 2" xfId="11182"/>
    <cellStyle name="40% - Accent2 2 5 2 2 2 2 2" xfId="18998"/>
    <cellStyle name="40% - Accent2 2 5 2 2 2 3" xfId="15111"/>
    <cellStyle name="40% - Accent2 2 5 2 2 3" xfId="11181"/>
    <cellStyle name="40% - Accent2 2 5 2 2 3 2" xfId="18997"/>
    <cellStyle name="40% - Accent2 2 5 2 2 4" xfId="15110"/>
    <cellStyle name="40% - Accent2 2 5 2 3" xfId="2181"/>
    <cellStyle name="40% - Accent2 2 5 2 3 2" xfId="11183"/>
    <cellStyle name="40% - Accent2 2 5 2 3 2 2" xfId="18999"/>
    <cellStyle name="40% - Accent2 2 5 2 3 3" xfId="15112"/>
    <cellStyle name="40% - Accent2 2 5 2 4" xfId="11180"/>
    <cellStyle name="40% - Accent2 2 5 2 4 2" xfId="18996"/>
    <cellStyle name="40% - Accent2 2 5 2 5" xfId="15109"/>
    <cellStyle name="40% - Accent2 2 5 3" xfId="2182"/>
    <cellStyle name="40% - Accent2 2 5 3 2" xfId="2183"/>
    <cellStyle name="40% - Accent2 2 5 3 2 2" xfId="11185"/>
    <cellStyle name="40% - Accent2 2 5 3 2 2 2" xfId="19001"/>
    <cellStyle name="40% - Accent2 2 5 3 2 3" xfId="15114"/>
    <cellStyle name="40% - Accent2 2 5 3 3" xfId="11184"/>
    <cellStyle name="40% - Accent2 2 5 3 3 2" xfId="19000"/>
    <cellStyle name="40% - Accent2 2 5 3 4" xfId="15113"/>
    <cellStyle name="40% - Accent2 2 5 4" xfId="2184"/>
    <cellStyle name="40% - Accent2 2 5 4 2" xfId="11186"/>
    <cellStyle name="40% - Accent2 2 5 4 2 2" xfId="19002"/>
    <cellStyle name="40% - Accent2 2 5 4 3" xfId="15115"/>
    <cellStyle name="40% - Accent2 2 5 5" xfId="11179"/>
    <cellStyle name="40% - Accent2 2 5 5 2" xfId="18995"/>
    <cellStyle name="40% - Accent2 2 5 6" xfId="15108"/>
    <cellStyle name="40% - Accent2 2 6" xfId="2185"/>
    <cellStyle name="40% - Accent2 2 6 2" xfId="2186"/>
    <cellStyle name="40% - Accent2 2 6 2 2" xfId="2187"/>
    <cellStyle name="40% - Accent2 2 6 2 2 2" xfId="2188"/>
    <cellStyle name="40% - Accent2 2 6 2 2 2 2" xfId="11190"/>
    <cellStyle name="40% - Accent2 2 6 2 2 2 2 2" xfId="19006"/>
    <cellStyle name="40% - Accent2 2 6 2 2 2 3" xfId="15119"/>
    <cellStyle name="40% - Accent2 2 6 2 2 3" xfId="11189"/>
    <cellStyle name="40% - Accent2 2 6 2 2 3 2" xfId="19005"/>
    <cellStyle name="40% - Accent2 2 6 2 2 4" xfId="15118"/>
    <cellStyle name="40% - Accent2 2 6 2 3" xfId="2189"/>
    <cellStyle name="40% - Accent2 2 6 2 3 2" xfId="11191"/>
    <cellStyle name="40% - Accent2 2 6 2 3 2 2" xfId="19007"/>
    <cellStyle name="40% - Accent2 2 6 2 3 3" xfId="15120"/>
    <cellStyle name="40% - Accent2 2 6 2 4" xfId="11188"/>
    <cellStyle name="40% - Accent2 2 6 2 4 2" xfId="19004"/>
    <cellStyle name="40% - Accent2 2 6 2 5" xfId="15117"/>
    <cellStyle name="40% - Accent2 2 6 3" xfId="2190"/>
    <cellStyle name="40% - Accent2 2 6 3 2" xfId="2191"/>
    <cellStyle name="40% - Accent2 2 6 3 2 2" xfId="11193"/>
    <cellStyle name="40% - Accent2 2 6 3 2 2 2" xfId="19009"/>
    <cellStyle name="40% - Accent2 2 6 3 2 3" xfId="15122"/>
    <cellStyle name="40% - Accent2 2 6 3 3" xfId="11192"/>
    <cellStyle name="40% - Accent2 2 6 3 3 2" xfId="19008"/>
    <cellStyle name="40% - Accent2 2 6 3 4" xfId="15121"/>
    <cellStyle name="40% - Accent2 2 6 4" xfId="2192"/>
    <cellStyle name="40% - Accent2 2 6 4 2" xfId="11194"/>
    <cellStyle name="40% - Accent2 2 6 4 2 2" xfId="19010"/>
    <cellStyle name="40% - Accent2 2 6 4 3" xfId="15123"/>
    <cellStyle name="40% - Accent2 2 6 5" xfId="11187"/>
    <cellStyle name="40% - Accent2 2 6 5 2" xfId="19003"/>
    <cellStyle name="40% - Accent2 2 6 6" xfId="15116"/>
    <cellStyle name="40% - Accent2 2 7" xfId="2193"/>
    <cellStyle name="40% - Accent2 2 7 2" xfId="2194"/>
    <cellStyle name="40% - Accent2 2 7 2 2" xfId="2195"/>
    <cellStyle name="40% - Accent2 2 7 2 2 2" xfId="11197"/>
    <cellStyle name="40% - Accent2 2 7 2 2 2 2" xfId="19013"/>
    <cellStyle name="40% - Accent2 2 7 2 2 3" xfId="15126"/>
    <cellStyle name="40% - Accent2 2 7 2 3" xfId="11196"/>
    <cellStyle name="40% - Accent2 2 7 2 3 2" xfId="19012"/>
    <cellStyle name="40% - Accent2 2 7 2 4" xfId="15125"/>
    <cellStyle name="40% - Accent2 2 7 3" xfId="2196"/>
    <cellStyle name="40% - Accent2 2 7 3 2" xfId="11198"/>
    <cellStyle name="40% - Accent2 2 7 3 2 2" xfId="19014"/>
    <cellStyle name="40% - Accent2 2 7 3 3" xfId="15127"/>
    <cellStyle name="40% - Accent2 2 7 4" xfId="11195"/>
    <cellStyle name="40% - Accent2 2 7 4 2" xfId="19011"/>
    <cellStyle name="40% - Accent2 2 7 5" xfId="15124"/>
    <cellStyle name="40% - Accent2 2 8" xfId="2197"/>
    <cellStyle name="40% - Accent2 2 8 2" xfId="2198"/>
    <cellStyle name="40% - Accent2 2 8 2 2" xfId="11200"/>
    <cellStyle name="40% - Accent2 2 8 2 2 2" xfId="19016"/>
    <cellStyle name="40% - Accent2 2 8 2 3" xfId="15129"/>
    <cellStyle name="40% - Accent2 2 8 3" xfId="11199"/>
    <cellStyle name="40% - Accent2 2 8 3 2" xfId="19015"/>
    <cellStyle name="40% - Accent2 2 8 4" xfId="15128"/>
    <cellStyle name="40% - Accent2 2 9" xfId="2199"/>
    <cellStyle name="40% - Accent2 2 9 2" xfId="2200"/>
    <cellStyle name="40% - Accent2 2 9 2 2" xfId="11202"/>
    <cellStyle name="40% - Accent2 2 9 2 2 2" xfId="19018"/>
    <cellStyle name="40% - Accent2 2 9 2 3" xfId="15131"/>
    <cellStyle name="40% - Accent2 2 9 3" xfId="11201"/>
    <cellStyle name="40% - Accent2 2 9 3 2" xfId="19017"/>
    <cellStyle name="40% - Accent2 2 9 4" xfId="15130"/>
    <cellStyle name="40% - Accent2 3" xfId="2201"/>
    <cellStyle name="40% - Accent2 3 2" xfId="2202"/>
    <cellStyle name="40% - Accent2 3 2 2" xfId="2203"/>
    <cellStyle name="40% - Accent2 3 2 2 2" xfId="2204"/>
    <cellStyle name="40% - Accent2 3 2 2 2 2" xfId="2205"/>
    <cellStyle name="40% - Accent2 3 2 2 2 2 2" xfId="2206"/>
    <cellStyle name="40% - Accent2 3 2 2 2 2 2 2" xfId="11207"/>
    <cellStyle name="40% - Accent2 3 2 2 2 2 2 2 2" xfId="19023"/>
    <cellStyle name="40% - Accent2 3 2 2 2 2 2 3" xfId="15136"/>
    <cellStyle name="40% - Accent2 3 2 2 2 2 3" xfId="11206"/>
    <cellStyle name="40% - Accent2 3 2 2 2 2 3 2" xfId="19022"/>
    <cellStyle name="40% - Accent2 3 2 2 2 2 4" xfId="15135"/>
    <cellStyle name="40% - Accent2 3 2 2 2 3" xfId="2207"/>
    <cellStyle name="40% - Accent2 3 2 2 2 3 2" xfId="2208"/>
    <cellStyle name="40% - Accent2 3 2 2 2 3 2 2" xfId="11209"/>
    <cellStyle name="40% - Accent2 3 2 2 2 3 2 2 2" xfId="19025"/>
    <cellStyle name="40% - Accent2 3 2 2 2 3 2 3" xfId="15138"/>
    <cellStyle name="40% - Accent2 3 2 2 2 3 3" xfId="11208"/>
    <cellStyle name="40% - Accent2 3 2 2 2 3 3 2" xfId="19024"/>
    <cellStyle name="40% - Accent2 3 2 2 2 3 4" xfId="15137"/>
    <cellStyle name="40% - Accent2 3 2 2 2 4" xfId="2209"/>
    <cellStyle name="40% - Accent2 3 2 2 2 4 2" xfId="11210"/>
    <cellStyle name="40% - Accent2 3 2 2 2 4 2 2" xfId="19026"/>
    <cellStyle name="40% - Accent2 3 2 2 2 4 3" xfId="15139"/>
    <cellStyle name="40% - Accent2 3 2 2 2 5" xfId="11205"/>
    <cellStyle name="40% - Accent2 3 2 2 2 5 2" xfId="19021"/>
    <cellStyle name="40% - Accent2 3 2 2 2 6" xfId="15134"/>
    <cellStyle name="40% - Accent2 3 2 2 3" xfId="2210"/>
    <cellStyle name="40% - Accent2 3 2 2 3 2" xfId="2211"/>
    <cellStyle name="40% - Accent2 3 2 2 3 2 2" xfId="2212"/>
    <cellStyle name="40% - Accent2 3 2 2 3 2 2 2" xfId="11213"/>
    <cellStyle name="40% - Accent2 3 2 2 3 2 2 2 2" xfId="19029"/>
    <cellStyle name="40% - Accent2 3 2 2 3 2 2 3" xfId="15142"/>
    <cellStyle name="40% - Accent2 3 2 2 3 2 3" xfId="11212"/>
    <cellStyle name="40% - Accent2 3 2 2 3 2 3 2" xfId="19028"/>
    <cellStyle name="40% - Accent2 3 2 2 3 2 4" xfId="15141"/>
    <cellStyle name="40% - Accent2 3 2 2 3 3" xfId="2213"/>
    <cellStyle name="40% - Accent2 3 2 2 3 3 2" xfId="11214"/>
    <cellStyle name="40% - Accent2 3 2 2 3 3 2 2" xfId="19030"/>
    <cellStyle name="40% - Accent2 3 2 2 3 3 3" xfId="15143"/>
    <cellStyle name="40% - Accent2 3 2 2 3 4" xfId="11211"/>
    <cellStyle name="40% - Accent2 3 2 2 3 4 2" xfId="19027"/>
    <cellStyle name="40% - Accent2 3 2 2 3 5" xfId="15140"/>
    <cellStyle name="40% - Accent2 3 2 2 4" xfId="2214"/>
    <cellStyle name="40% - Accent2 3 2 2 4 2" xfId="2215"/>
    <cellStyle name="40% - Accent2 3 2 2 4 2 2" xfId="11216"/>
    <cellStyle name="40% - Accent2 3 2 2 4 2 2 2" xfId="19032"/>
    <cellStyle name="40% - Accent2 3 2 2 4 2 3" xfId="15145"/>
    <cellStyle name="40% - Accent2 3 2 2 4 3" xfId="11215"/>
    <cellStyle name="40% - Accent2 3 2 2 4 3 2" xfId="19031"/>
    <cellStyle name="40% - Accent2 3 2 2 4 4" xfId="15144"/>
    <cellStyle name="40% - Accent2 3 2 2 5" xfId="2216"/>
    <cellStyle name="40% - Accent2 3 2 2 5 2" xfId="11217"/>
    <cellStyle name="40% - Accent2 3 2 2 5 2 2" xfId="19033"/>
    <cellStyle name="40% - Accent2 3 2 2 5 3" xfId="15146"/>
    <cellStyle name="40% - Accent2 3 2 2 6" xfId="11204"/>
    <cellStyle name="40% - Accent2 3 2 2 6 2" xfId="19020"/>
    <cellStyle name="40% - Accent2 3 2 2 7" xfId="15133"/>
    <cellStyle name="40% - Accent2 3 2 3" xfId="2217"/>
    <cellStyle name="40% - Accent2 3 2 3 2" xfId="2218"/>
    <cellStyle name="40% - Accent2 3 2 3 2 2" xfId="2219"/>
    <cellStyle name="40% - Accent2 3 2 3 2 2 2" xfId="2220"/>
    <cellStyle name="40% - Accent2 3 2 3 2 2 2 2" xfId="11221"/>
    <cellStyle name="40% - Accent2 3 2 3 2 2 2 2 2" xfId="19037"/>
    <cellStyle name="40% - Accent2 3 2 3 2 2 2 3" xfId="15150"/>
    <cellStyle name="40% - Accent2 3 2 3 2 2 3" xfId="11220"/>
    <cellStyle name="40% - Accent2 3 2 3 2 2 3 2" xfId="19036"/>
    <cellStyle name="40% - Accent2 3 2 3 2 2 4" xfId="15149"/>
    <cellStyle name="40% - Accent2 3 2 3 2 3" xfId="2221"/>
    <cellStyle name="40% - Accent2 3 2 3 2 3 2" xfId="11222"/>
    <cellStyle name="40% - Accent2 3 2 3 2 3 2 2" xfId="19038"/>
    <cellStyle name="40% - Accent2 3 2 3 2 3 3" xfId="15151"/>
    <cellStyle name="40% - Accent2 3 2 3 2 4" xfId="11219"/>
    <cellStyle name="40% - Accent2 3 2 3 2 4 2" xfId="19035"/>
    <cellStyle name="40% - Accent2 3 2 3 2 5" xfId="15148"/>
    <cellStyle name="40% - Accent2 3 2 3 3" xfId="2222"/>
    <cellStyle name="40% - Accent2 3 2 3 3 2" xfId="2223"/>
    <cellStyle name="40% - Accent2 3 2 3 3 2 2" xfId="11224"/>
    <cellStyle name="40% - Accent2 3 2 3 3 2 2 2" xfId="19040"/>
    <cellStyle name="40% - Accent2 3 2 3 3 2 3" xfId="15153"/>
    <cellStyle name="40% - Accent2 3 2 3 3 3" xfId="11223"/>
    <cellStyle name="40% - Accent2 3 2 3 3 3 2" xfId="19039"/>
    <cellStyle name="40% - Accent2 3 2 3 3 4" xfId="15152"/>
    <cellStyle name="40% - Accent2 3 2 3 4" xfId="2224"/>
    <cellStyle name="40% - Accent2 3 2 3 4 2" xfId="2225"/>
    <cellStyle name="40% - Accent2 3 2 3 4 2 2" xfId="11226"/>
    <cellStyle name="40% - Accent2 3 2 3 4 2 2 2" xfId="19042"/>
    <cellStyle name="40% - Accent2 3 2 3 4 2 3" xfId="15155"/>
    <cellStyle name="40% - Accent2 3 2 3 4 3" xfId="11225"/>
    <cellStyle name="40% - Accent2 3 2 3 4 3 2" xfId="19041"/>
    <cellStyle name="40% - Accent2 3 2 3 4 4" xfId="15154"/>
    <cellStyle name="40% - Accent2 3 2 3 5" xfId="2226"/>
    <cellStyle name="40% - Accent2 3 2 3 5 2" xfId="11227"/>
    <cellStyle name="40% - Accent2 3 2 3 5 2 2" xfId="19043"/>
    <cellStyle name="40% - Accent2 3 2 3 5 3" xfId="15156"/>
    <cellStyle name="40% - Accent2 3 2 3 6" xfId="11218"/>
    <cellStyle name="40% - Accent2 3 2 3 6 2" xfId="19034"/>
    <cellStyle name="40% - Accent2 3 2 3 7" xfId="15147"/>
    <cellStyle name="40% - Accent2 3 2 4" xfId="2227"/>
    <cellStyle name="40% - Accent2 3 2 4 2" xfId="2228"/>
    <cellStyle name="40% - Accent2 3 2 4 2 2" xfId="2229"/>
    <cellStyle name="40% - Accent2 3 2 4 2 2 2" xfId="11230"/>
    <cellStyle name="40% - Accent2 3 2 4 2 2 2 2" xfId="19046"/>
    <cellStyle name="40% - Accent2 3 2 4 2 2 3" xfId="15159"/>
    <cellStyle name="40% - Accent2 3 2 4 2 3" xfId="11229"/>
    <cellStyle name="40% - Accent2 3 2 4 2 3 2" xfId="19045"/>
    <cellStyle name="40% - Accent2 3 2 4 2 4" xfId="15158"/>
    <cellStyle name="40% - Accent2 3 2 4 3" xfId="2230"/>
    <cellStyle name="40% - Accent2 3 2 4 3 2" xfId="11231"/>
    <cellStyle name="40% - Accent2 3 2 4 3 2 2" xfId="19047"/>
    <cellStyle name="40% - Accent2 3 2 4 3 3" xfId="15160"/>
    <cellStyle name="40% - Accent2 3 2 4 4" xfId="11228"/>
    <cellStyle name="40% - Accent2 3 2 4 4 2" xfId="19044"/>
    <cellStyle name="40% - Accent2 3 2 4 5" xfId="15157"/>
    <cellStyle name="40% - Accent2 3 2 5" xfId="2231"/>
    <cellStyle name="40% - Accent2 3 2 5 2" xfId="2232"/>
    <cellStyle name="40% - Accent2 3 2 5 2 2" xfId="11233"/>
    <cellStyle name="40% - Accent2 3 2 5 2 2 2" xfId="19049"/>
    <cellStyle name="40% - Accent2 3 2 5 2 3" xfId="15162"/>
    <cellStyle name="40% - Accent2 3 2 5 3" xfId="11232"/>
    <cellStyle name="40% - Accent2 3 2 5 3 2" xfId="19048"/>
    <cellStyle name="40% - Accent2 3 2 5 4" xfId="15161"/>
    <cellStyle name="40% - Accent2 3 2 6" xfId="2233"/>
    <cellStyle name="40% - Accent2 3 2 6 2" xfId="11234"/>
    <cellStyle name="40% - Accent2 3 2 6 2 2" xfId="19050"/>
    <cellStyle name="40% - Accent2 3 2 6 3" xfId="15163"/>
    <cellStyle name="40% - Accent2 3 2 7" xfId="11203"/>
    <cellStyle name="40% - Accent2 3 2 7 2" xfId="19019"/>
    <cellStyle name="40% - Accent2 3 2 8" xfId="15132"/>
    <cellStyle name="40% - Accent2 3 3" xfId="2234"/>
    <cellStyle name="40% - Accent2 3 3 2" xfId="2235"/>
    <cellStyle name="40% - Accent2 3 3 2 2" xfId="2236"/>
    <cellStyle name="40% - Accent2 3 3 2 2 2" xfId="2237"/>
    <cellStyle name="40% - Accent2 3 3 2 2 2 2" xfId="11238"/>
    <cellStyle name="40% - Accent2 3 3 2 2 2 2 2" xfId="19054"/>
    <cellStyle name="40% - Accent2 3 3 2 2 2 3" xfId="15167"/>
    <cellStyle name="40% - Accent2 3 3 2 2 3" xfId="11237"/>
    <cellStyle name="40% - Accent2 3 3 2 2 3 2" xfId="19053"/>
    <cellStyle name="40% - Accent2 3 3 2 2 4" xfId="15166"/>
    <cellStyle name="40% - Accent2 3 3 2 3" xfId="2238"/>
    <cellStyle name="40% - Accent2 3 3 2 3 2" xfId="2239"/>
    <cellStyle name="40% - Accent2 3 3 2 3 2 2" xfId="11240"/>
    <cellStyle name="40% - Accent2 3 3 2 3 2 2 2" xfId="19056"/>
    <cellStyle name="40% - Accent2 3 3 2 3 2 3" xfId="15169"/>
    <cellStyle name="40% - Accent2 3 3 2 3 3" xfId="11239"/>
    <cellStyle name="40% - Accent2 3 3 2 3 3 2" xfId="19055"/>
    <cellStyle name="40% - Accent2 3 3 2 3 4" xfId="15168"/>
    <cellStyle name="40% - Accent2 3 3 2 4" xfId="2240"/>
    <cellStyle name="40% - Accent2 3 3 2 4 2" xfId="11241"/>
    <cellStyle name="40% - Accent2 3 3 2 4 2 2" xfId="19057"/>
    <cellStyle name="40% - Accent2 3 3 2 4 3" xfId="15170"/>
    <cellStyle name="40% - Accent2 3 3 2 5" xfId="11236"/>
    <cellStyle name="40% - Accent2 3 3 2 5 2" xfId="19052"/>
    <cellStyle name="40% - Accent2 3 3 2 6" xfId="15165"/>
    <cellStyle name="40% - Accent2 3 3 3" xfId="2241"/>
    <cellStyle name="40% - Accent2 3 3 3 2" xfId="2242"/>
    <cellStyle name="40% - Accent2 3 3 3 2 2" xfId="2243"/>
    <cellStyle name="40% - Accent2 3 3 3 2 2 2" xfId="11244"/>
    <cellStyle name="40% - Accent2 3 3 3 2 2 2 2" xfId="19060"/>
    <cellStyle name="40% - Accent2 3 3 3 2 2 3" xfId="15173"/>
    <cellStyle name="40% - Accent2 3 3 3 2 3" xfId="11243"/>
    <cellStyle name="40% - Accent2 3 3 3 2 3 2" xfId="19059"/>
    <cellStyle name="40% - Accent2 3 3 3 2 4" xfId="15172"/>
    <cellStyle name="40% - Accent2 3 3 3 3" xfId="2244"/>
    <cellStyle name="40% - Accent2 3 3 3 3 2" xfId="11245"/>
    <cellStyle name="40% - Accent2 3 3 3 3 2 2" xfId="19061"/>
    <cellStyle name="40% - Accent2 3 3 3 3 3" xfId="15174"/>
    <cellStyle name="40% - Accent2 3 3 3 4" xfId="11242"/>
    <cellStyle name="40% - Accent2 3 3 3 4 2" xfId="19058"/>
    <cellStyle name="40% - Accent2 3 3 3 5" xfId="15171"/>
    <cellStyle name="40% - Accent2 3 3 4" xfId="2245"/>
    <cellStyle name="40% - Accent2 3 3 4 2" xfId="2246"/>
    <cellStyle name="40% - Accent2 3 3 4 2 2" xfId="11247"/>
    <cellStyle name="40% - Accent2 3 3 4 2 2 2" xfId="19063"/>
    <cellStyle name="40% - Accent2 3 3 4 2 3" xfId="15176"/>
    <cellStyle name="40% - Accent2 3 3 4 3" xfId="11246"/>
    <cellStyle name="40% - Accent2 3 3 4 3 2" xfId="19062"/>
    <cellStyle name="40% - Accent2 3 3 4 4" xfId="15175"/>
    <cellStyle name="40% - Accent2 3 3 5" xfId="2247"/>
    <cellStyle name="40% - Accent2 3 3 5 2" xfId="11248"/>
    <cellStyle name="40% - Accent2 3 3 5 2 2" xfId="19064"/>
    <cellStyle name="40% - Accent2 3 3 5 3" xfId="15177"/>
    <cellStyle name="40% - Accent2 3 3 6" xfId="11235"/>
    <cellStyle name="40% - Accent2 3 3 6 2" xfId="19051"/>
    <cellStyle name="40% - Accent2 3 3 7" xfId="15164"/>
    <cellStyle name="40% - Accent2 3 4" xfId="2248"/>
    <cellStyle name="40% - Accent2 3 4 2" xfId="2249"/>
    <cellStyle name="40% - Accent2 3 4 2 2" xfId="2250"/>
    <cellStyle name="40% - Accent2 3 4 2 2 2" xfId="2251"/>
    <cellStyle name="40% - Accent2 3 4 2 2 2 2" xfId="11252"/>
    <cellStyle name="40% - Accent2 3 4 2 2 2 2 2" xfId="19068"/>
    <cellStyle name="40% - Accent2 3 4 2 2 2 3" xfId="15181"/>
    <cellStyle name="40% - Accent2 3 4 2 2 3" xfId="11251"/>
    <cellStyle name="40% - Accent2 3 4 2 2 3 2" xfId="19067"/>
    <cellStyle name="40% - Accent2 3 4 2 2 4" xfId="15180"/>
    <cellStyle name="40% - Accent2 3 4 2 3" xfId="2252"/>
    <cellStyle name="40% - Accent2 3 4 2 3 2" xfId="11253"/>
    <cellStyle name="40% - Accent2 3 4 2 3 2 2" xfId="19069"/>
    <cellStyle name="40% - Accent2 3 4 2 3 3" xfId="15182"/>
    <cellStyle name="40% - Accent2 3 4 2 4" xfId="11250"/>
    <cellStyle name="40% - Accent2 3 4 2 4 2" xfId="19066"/>
    <cellStyle name="40% - Accent2 3 4 2 5" xfId="15179"/>
    <cellStyle name="40% - Accent2 3 4 3" xfId="2253"/>
    <cellStyle name="40% - Accent2 3 4 3 2" xfId="2254"/>
    <cellStyle name="40% - Accent2 3 4 3 2 2" xfId="11255"/>
    <cellStyle name="40% - Accent2 3 4 3 2 2 2" xfId="19071"/>
    <cellStyle name="40% - Accent2 3 4 3 2 3" xfId="15184"/>
    <cellStyle name="40% - Accent2 3 4 3 3" xfId="11254"/>
    <cellStyle name="40% - Accent2 3 4 3 3 2" xfId="19070"/>
    <cellStyle name="40% - Accent2 3 4 3 4" xfId="15183"/>
    <cellStyle name="40% - Accent2 3 4 4" xfId="2255"/>
    <cellStyle name="40% - Accent2 3 4 4 2" xfId="11256"/>
    <cellStyle name="40% - Accent2 3 4 4 2 2" xfId="19072"/>
    <cellStyle name="40% - Accent2 3 4 4 3" xfId="15185"/>
    <cellStyle name="40% - Accent2 3 4 5" xfId="11249"/>
    <cellStyle name="40% - Accent2 3 4 5 2" xfId="19065"/>
    <cellStyle name="40% - Accent2 3 4 6" xfId="15178"/>
    <cellStyle name="40% - Accent2 3 5" xfId="2256"/>
    <cellStyle name="40% - Accent2 3 5 2" xfId="2257"/>
    <cellStyle name="40% - Accent2 3 5 2 2" xfId="2258"/>
    <cellStyle name="40% - Accent2 3 5 2 2 2" xfId="2259"/>
    <cellStyle name="40% - Accent2 3 5 2 2 2 2" xfId="11260"/>
    <cellStyle name="40% - Accent2 3 5 2 2 2 2 2" xfId="19076"/>
    <cellStyle name="40% - Accent2 3 5 2 2 2 3" xfId="15189"/>
    <cellStyle name="40% - Accent2 3 5 2 2 3" xfId="11259"/>
    <cellStyle name="40% - Accent2 3 5 2 2 3 2" xfId="19075"/>
    <cellStyle name="40% - Accent2 3 5 2 2 4" xfId="15188"/>
    <cellStyle name="40% - Accent2 3 5 2 3" xfId="2260"/>
    <cellStyle name="40% - Accent2 3 5 2 3 2" xfId="11261"/>
    <cellStyle name="40% - Accent2 3 5 2 3 2 2" xfId="19077"/>
    <cellStyle name="40% - Accent2 3 5 2 3 3" xfId="15190"/>
    <cellStyle name="40% - Accent2 3 5 2 4" xfId="11258"/>
    <cellStyle name="40% - Accent2 3 5 2 4 2" xfId="19074"/>
    <cellStyle name="40% - Accent2 3 5 2 5" xfId="15187"/>
    <cellStyle name="40% - Accent2 3 5 3" xfId="2261"/>
    <cellStyle name="40% - Accent2 3 5 3 2" xfId="2262"/>
    <cellStyle name="40% - Accent2 3 5 3 2 2" xfId="11263"/>
    <cellStyle name="40% - Accent2 3 5 3 2 2 2" xfId="19079"/>
    <cellStyle name="40% - Accent2 3 5 3 2 3" xfId="15192"/>
    <cellStyle name="40% - Accent2 3 5 3 3" xfId="11262"/>
    <cellStyle name="40% - Accent2 3 5 3 3 2" xfId="19078"/>
    <cellStyle name="40% - Accent2 3 5 3 4" xfId="15191"/>
    <cellStyle name="40% - Accent2 3 5 4" xfId="2263"/>
    <cellStyle name="40% - Accent2 3 5 4 2" xfId="2264"/>
    <cellStyle name="40% - Accent2 3 5 4 2 2" xfId="11265"/>
    <cellStyle name="40% - Accent2 3 5 4 2 2 2" xfId="19081"/>
    <cellStyle name="40% - Accent2 3 5 4 2 3" xfId="15194"/>
    <cellStyle name="40% - Accent2 3 5 4 3" xfId="11264"/>
    <cellStyle name="40% - Accent2 3 5 4 3 2" xfId="19080"/>
    <cellStyle name="40% - Accent2 3 5 4 4" xfId="15193"/>
    <cellStyle name="40% - Accent2 3 5 5" xfId="2265"/>
    <cellStyle name="40% - Accent2 3 5 5 2" xfId="11266"/>
    <cellStyle name="40% - Accent2 3 5 5 2 2" xfId="19082"/>
    <cellStyle name="40% - Accent2 3 5 5 3" xfId="15195"/>
    <cellStyle name="40% - Accent2 3 5 6" xfId="11257"/>
    <cellStyle name="40% - Accent2 3 5 6 2" xfId="19073"/>
    <cellStyle name="40% - Accent2 3 5 7" xfId="15186"/>
    <cellStyle name="40% - Accent2 3 6" xfId="2266"/>
    <cellStyle name="40% - Accent2 3 6 2" xfId="2267"/>
    <cellStyle name="40% - Accent2 3 6 2 2" xfId="2268"/>
    <cellStyle name="40% - Accent2 3 6 2 2 2" xfId="11269"/>
    <cellStyle name="40% - Accent2 3 6 2 2 2 2" xfId="19085"/>
    <cellStyle name="40% - Accent2 3 6 2 2 3" xfId="15198"/>
    <cellStyle name="40% - Accent2 3 6 2 3" xfId="11268"/>
    <cellStyle name="40% - Accent2 3 6 2 3 2" xfId="19084"/>
    <cellStyle name="40% - Accent2 3 6 2 4" xfId="15197"/>
    <cellStyle name="40% - Accent2 3 6 3" xfId="2269"/>
    <cellStyle name="40% - Accent2 3 6 3 2" xfId="11270"/>
    <cellStyle name="40% - Accent2 3 6 3 2 2" xfId="19086"/>
    <cellStyle name="40% - Accent2 3 6 3 3" xfId="15199"/>
    <cellStyle name="40% - Accent2 3 6 4" xfId="11267"/>
    <cellStyle name="40% - Accent2 3 6 4 2" xfId="19083"/>
    <cellStyle name="40% - Accent2 3 6 5" xfId="15196"/>
    <cellStyle name="40% - Accent2 3 7" xfId="2270"/>
    <cellStyle name="40% - Accent2 3 7 2" xfId="2271"/>
    <cellStyle name="40% - Accent2 3 7 2 2" xfId="11272"/>
    <cellStyle name="40% - Accent2 3 7 2 2 2" xfId="19088"/>
    <cellStyle name="40% - Accent2 3 7 2 3" xfId="15201"/>
    <cellStyle name="40% - Accent2 3 7 3" xfId="11271"/>
    <cellStyle name="40% - Accent2 3 7 3 2" xfId="19087"/>
    <cellStyle name="40% - Accent2 3 7 4" xfId="15200"/>
    <cellStyle name="40% - Accent2 3 8" xfId="2272"/>
    <cellStyle name="40% - Accent2 3 8 2" xfId="11273"/>
    <cellStyle name="40% - Accent2 3 8 2 2" xfId="19089"/>
    <cellStyle name="40% - Accent2 3 8 3" xfId="15202"/>
    <cellStyle name="40% - Accent2 3 9" xfId="2273"/>
    <cellStyle name="40% - Accent2 3 9 2" xfId="11274"/>
    <cellStyle name="40% - Accent2 3 9 2 2" xfId="19090"/>
    <cellStyle name="40% - Accent2 3 9 3" xfId="15203"/>
    <cellStyle name="40% - Accent2 4" xfId="2274"/>
    <cellStyle name="40% - Accent2 4 2" xfId="2275"/>
    <cellStyle name="40% - Accent2 4 2 2" xfId="2276"/>
    <cellStyle name="40% - Accent2 4 2 2 2" xfId="2277"/>
    <cellStyle name="40% - Accent2 4 2 2 2 2" xfId="2278"/>
    <cellStyle name="40% - Accent2 4 2 2 2 2 2" xfId="11279"/>
    <cellStyle name="40% - Accent2 4 2 2 2 2 2 2" xfId="19095"/>
    <cellStyle name="40% - Accent2 4 2 2 2 2 3" xfId="15208"/>
    <cellStyle name="40% - Accent2 4 2 2 2 3" xfId="11278"/>
    <cellStyle name="40% - Accent2 4 2 2 2 3 2" xfId="19094"/>
    <cellStyle name="40% - Accent2 4 2 2 2 4" xfId="15207"/>
    <cellStyle name="40% - Accent2 4 2 2 3" xfId="2279"/>
    <cellStyle name="40% - Accent2 4 2 2 3 2" xfId="2280"/>
    <cellStyle name="40% - Accent2 4 2 2 3 2 2" xfId="11281"/>
    <cellStyle name="40% - Accent2 4 2 2 3 2 2 2" xfId="19097"/>
    <cellStyle name="40% - Accent2 4 2 2 3 2 3" xfId="15210"/>
    <cellStyle name="40% - Accent2 4 2 2 3 3" xfId="11280"/>
    <cellStyle name="40% - Accent2 4 2 2 3 3 2" xfId="19096"/>
    <cellStyle name="40% - Accent2 4 2 2 3 4" xfId="15209"/>
    <cellStyle name="40% - Accent2 4 2 2 4" xfId="2281"/>
    <cellStyle name="40% - Accent2 4 2 2 4 2" xfId="11282"/>
    <cellStyle name="40% - Accent2 4 2 2 4 2 2" xfId="19098"/>
    <cellStyle name="40% - Accent2 4 2 2 4 3" xfId="15211"/>
    <cellStyle name="40% - Accent2 4 2 2 5" xfId="11277"/>
    <cellStyle name="40% - Accent2 4 2 2 5 2" xfId="19093"/>
    <cellStyle name="40% - Accent2 4 2 2 6" xfId="15206"/>
    <cellStyle name="40% - Accent2 4 2 3" xfId="2282"/>
    <cellStyle name="40% - Accent2 4 2 3 2" xfId="2283"/>
    <cellStyle name="40% - Accent2 4 2 3 2 2" xfId="2284"/>
    <cellStyle name="40% - Accent2 4 2 3 2 2 2" xfId="11285"/>
    <cellStyle name="40% - Accent2 4 2 3 2 2 2 2" xfId="19101"/>
    <cellStyle name="40% - Accent2 4 2 3 2 2 3" xfId="15214"/>
    <cellStyle name="40% - Accent2 4 2 3 2 3" xfId="11284"/>
    <cellStyle name="40% - Accent2 4 2 3 2 3 2" xfId="19100"/>
    <cellStyle name="40% - Accent2 4 2 3 2 4" xfId="15213"/>
    <cellStyle name="40% - Accent2 4 2 3 3" xfId="2285"/>
    <cellStyle name="40% - Accent2 4 2 3 3 2" xfId="11286"/>
    <cellStyle name="40% - Accent2 4 2 3 3 2 2" xfId="19102"/>
    <cellStyle name="40% - Accent2 4 2 3 3 3" xfId="15215"/>
    <cellStyle name="40% - Accent2 4 2 3 4" xfId="11283"/>
    <cellStyle name="40% - Accent2 4 2 3 4 2" xfId="19099"/>
    <cellStyle name="40% - Accent2 4 2 3 5" xfId="15212"/>
    <cellStyle name="40% - Accent2 4 2 4" xfId="2286"/>
    <cellStyle name="40% - Accent2 4 2 4 2" xfId="2287"/>
    <cellStyle name="40% - Accent2 4 2 4 2 2" xfId="11288"/>
    <cellStyle name="40% - Accent2 4 2 4 2 2 2" xfId="19104"/>
    <cellStyle name="40% - Accent2 4 2 4 2 3" xfId="15217"/>
    <cellStyle name="40% - Accent2 4 2 4 3" xfId="11287"/>
    <cellStyle name="40% - Accent2 4 2 4 3 2" xfId="19103"/>
    <cellStyle name="40% - Accent2 4 2 4 4" xfId="15216"/>
    <cellStyle name="40% - Accent2 4 2 5" xfId="2288"/>
    <cellStyle name="40% - Accent2 4 2 5 2" xfId="11289"/>
    <cellStyle name="40% - Accent2 4 2 5 2 2" xfId="19105"/>
    <cellStyle name="40% - Accent2 4 2 5 3" xfId="15218"/>
    <cellStyle name="40% - Accent2 4 2 6" xfId="11276"/>
    <cellStyle name="40% - Accent2 4 2 6 2" xfId="19092"/>
    <cellStyle name="40% - Accent2 4 2 7" xfId="15205"/>
    <cellStyle name="40% - Accent2 4 3" xfId="2289"/>
    <cellStyle name="40% - Accent2 4 3 2" xfId="2290"/>
    <cellStyle name="40% - Accent2 4 3 2 2" xfId="2291"/>
    <cellStyle name="40% - Accent2 4 3 2 2 2" xfId="2292"/>
    <cellStyle name="40% - Accent2 4 3 2 2 2 2" xfId="11293"/>
    <cellStyle name="40% - Accent2 4 3 2 2 2 2 2" xfId="19109"/>
    <cellStyle name="40% - Accent2 4 3 2 2 2 3" xfId="15222"/>
    <cellStyle name="40% - Accent2 4 3 2 2 3" xfId="11292"/>
    <cellStyle name="40% - Accent2 4 3 2 2 3 2" xfId="19108"/>
    <cellStyle name="40% - Accent2 4 3 2 2 4" xfId="15221"/>
    <cellStyle name="40% - Accent2 4 3 2 3" xfId="2293"/>
    <cellStyle name="40% - Accent2 4 3 2 3 2" xfId="11294"/>
    <cellStyle name="40% - Accent2 4 3 2 3 2 2" xfId="19110"/>
    <cellStyle name="40% - Accent2 4 3 2 3 3" xfId="15223"/>
    <cellStyle name="40% - Accent2 4 3 2 4" xfId="11291"/>
    <cellStyle name="40% - Accent2 4 3 2 4 2" xfId="19107"/>
    <cellStyle name="40% - Accent2 4 3 2 5" xfId="15220"/>
    <cellStyle name="40% - Accent2 4 3 3" xfId="2294"/>
    <cellStyle name="40% - Accent2 4 3 3 2" xfId="2295"/>
    <cellStyle name="40% - Accent2 4 3 3 2 2" xfId="11296"/>
    <cellStyle name="40% - Accent2 4 3 3 2 2 2" xfId="19112"/>
    <cellStyle name="40% - Accent2 4 3 3 2 3" xfId="15225"/>
    <cellStyle name="40% - Accent2 4 3 3 3" xfId="11295"/>
    <cellStyle name="40% - Accent2 4 3 3 3 2" xfId="19111"/>
    <cellStyle name="40% - Accent2 4 3 3 4" xfId="15224"/>
    <cellStyle name="40% - Accent2 4 3 4" xfId="2296"/>
    <cellStyle name="40% - Accent2 4 3 4 2" xfId="2297"/>
    <cellStyle name="40% - Accent2 4 3 4 2 2" xfId="11298"/>
    <cellStyle name="40% - Accent2 4 3 4 2 2 2" xfId="19114"/>
    <cellStyle name="40% - Accent2 4 3 4 2 3" xfId="15227"/>
    <cellStyle name="40% - Accent2 4 3 4 3" xfId="11297"/>
    <cellStyle name="40% - Accent2 4 3 4 3 2" xfId="19113"/>
    <cellStyle name="40% - Accent2 4 3 4 4" xfId="15226"/>
    <cellStyle name="40% - Accent2 4 3 5" xfId="2298"/>
    <cellStyle name="40% - Accent2 4 3 5 2" xfId="11299"/>
    <cellStyle name="40% - Accent2 4 3 5 2 2" xfId="19115"/>
    <cellStyle name="40% - Accent2 4 3 5 3" xfId="15228"/>
    <cellStyle name="40% - Accent2 4 3 6" xfId="11290"/>
    <cellStyle name="40% - Accent2 4 3 6 2" xfId="19106"/>
    <cellStyle name="40% - Accent2 4 3 7" xfId="15219"/>
    <cellStyle name="40% - Accent2 4 4" xfId="2299"/>
    <cellStyle name="40% - Accent2 4 4 2" xfId="2300"/>
    <cellStyle name="40% - Accent2 4 4 2 2" xfId="2301"/>
    <cellStyle name="40% - Accent2 4 4 2 2 2" xfId="11302"/>
    <cellStyle name="40% - Accent2 4 4 2 2 2 2" xfId="19118"/>
    <cellStyle name="40% - Accent2 4 4 2 2 3" xfId="15231"/>
    <cellStyle name="40% - Accent2 4 4 2 3" xfId="11301"/>
    <cellStyle name="40% - Accent2 4 4 2 3 2" xfId="19117"/>
    <cellStyle name="40% - Accent2 4 4 2 4" xfId="15230"/>
    <cellStyle name="40% - Accent2 4 4 3" xfId="2302"/>
    <cellStyle name="40% - Accent2 4 4 3 2" xfId="11303"/>
    <cellStyle name="40% - Accent2 4 4 3 2 2" xfId="19119"/>
    <cellStyle name="40% - Accent2 4 4 3 3" xfId="15232"/>
    <cellStyle name="40% - Accent2 4 4 4" xfId="11300"/>
    <cellStyle name="40% - Accent2 4 4 4 2" xfId="19116"/>
    <cellStyle name="40% - Accent2 4 4 5" xfId="15229"/>
    <cellStyle name="40% - Accent2 4 5" xfId="2303"/>
    <cellStyle name="40% - Accent2 4 5 2" xfId="2304"/>
    <cellStyle name="40% - Accent2 4 5 2 2" xfId="11305"/>
    <cellStyle name="40% - Accent2 4 5 2 2 2" xfId="19121"/>
    <cellStyle name="40% - Accent2 4 5 2 3" xfId="15234"/>
    <cellStyle name="40% - Accent2 4 5 3" xfId="11304"/>
    <cellStyle name="40% - Accent2 4 5 3 2" xfId="19120"/>
    <cellStyle name="40% - Accent2 4 5 4" xfId="15233"/>
    <cellStyle name="40% - Accent2 4 6" xfId="2305"/>
    <cellStyle name="40% - Accent2 4 6 2" xfId="11306"/>
    <cellStyle name="40% - Accent2 4 6 2 2" xfId="19122"/>
    <cellStyle name="40% - Accent2 4 6 3" xfId="15235"/>
    <cellStyle name="40% - Accent2 4 7" xfId="11275"/>
    <cellStyle name="40% - Accent2 4 7 2" xfId="19091"/>
    <cellStyle name="40% - Accent2 4 8" xfId="15204"/>
    <cellStyle name="40% - Accent2 5" xfId="2306"/>
    <cellStyle name="40% - Accent2 5 2" xfId="2307"/>
    <cellStyle name="40% - Accent2 5 2 2" xfId="2308"/>
    <cellStyle name="40% - Accent2 5 2 2 2" xfId="2309"/>
    <cellStyle name="40% - Accent2 5 2 2 2 2" xfId="11310"/>
    <cellStyle name="40% - Accent2 5 2 2 2 2 2" xfId="19126"/>
    <cellStyle name="40% - Accent2 5 2 2 2 3" xfId="15239"/>
    <cellStyle name="40% - Accent2 5 2 2 3" xfId="11309"/>
    <cellStyle name="40% - Accent2 5 2 2 3 2" xfId="19125"/>
    <cellStyle name="40% - Accent2 5 2 2 4" xfId="15238"/>
    <cellStyle name="40% - Accent2 5 2 3" xfId="2310"/>
    <cellStyle name="40% - Accent2 5 2 3 2" xfId="2311"/>
    <cellStyle name="40% - Accent2 5 2 3 2 2" xfId="11312"/>
    <cellStyle name="40% - Accent2 5 2 3 2 2 2" xfId="19128"/>
    <cellStyle name="40% - Accent2 5 2 3 2 3" xfId="15241"/>
    <cellStyle name="40% - Accent2 5 2 3 3" xfId="11311"/>
    <cellStyle name="40% - Accent2 5 2 3 3 2" xfId="19127"/>
    <cellStyle name="40% - Accent2 5 2 3 4" xfId="15240"/>
    <cellStyle name="40% - Accent2 5 2 4" xfId="2312"/>
    <cellStyle name="40% - Accent2 5 2 4 2" xfId="11313"/>
    <cellStyle name="40% - Accent2 5 2 4 2 2" xfId="19129"/>
    <cellStyle name="40% - Accent2 5 2 4 3" xfId="15242"/>
    <cellStyle name="40% - Accent2 5 2 5" xfId="11308"/>
    <cellStyle name="40% - Accent2 5 2 5 2" xfId="19124"/>
    <cellStyle name="40% - Accent2 5 2 6" xfId="15237"/>
    <cellStyle name="40% - Accent2 5 3" xfId="2313"/>
    <cellStyle name="40% - Accent2 5 3 2" xfId="2314"/>
    <cellStyle name="40% - Accent2 5 3 2 2" xfId="2315"/>
    <cellStyle name="40% - Accent2 5 3 2 2 2" xfId="11316"/>
    <cellStyle name="40% - Accent2 5 3 2 2 2 2" xfId="19132"/>
    <cellStyle name="40% - Accent2 5 3 2 2 3" xfId="15245"/>
    <cellStyle name="40% - Accent2 5 3 2 3" xfId="11315"/>
    <cellStyle name="40% - Accent2 5 3 2 3 2" xfId="19131"/>
    <cellStyle name="40% - Accent2 5 3 2 4" xfId="15244"/>
    <cellStyle name="40% - Accent2 5 3 3" xfId="2316"/>
    <cellStyle name="40% - Accent2 5 3 3 2" xfId="11317"/>
    <cellStyle name="40% - Accent2 5 3 3 2 2" xfId="19133"/>
    <cellStyle name="40% - Accent2 5 3 3 3" xfId="15246"/>
    <cellStyle name="40% - Accent2 5 3 4" xfId="11314"/>
    <cellStyle name="40% - Accent2 5 3 4 2" xfId="19130"/>
    <cellStyle name="40% - Accent2 5 3 5" xfId="15243"/>
    <cellStyle name="40% - Accent2 5 4" xfId="2317"/>
    <cellStyle name="40% - Accent2 5 4 2" xfId="2318"/>
    <cellStyle name="40% - Accent2 5 4 2 2" xfId="11319"/>
    <cellStyle name="40% - Accent2 5 4 2 2 2" xfId="19135"/>
    <cellStyle name="40% - Accent2 5 4 2 3" xfId="15248"/>
    <cellStyle name="40% - Accent2 5 4 3" xfId="11318"/>
    <cellStyle name="40% - Accent2 5 4 3 2" xfId="19134"/>
    <cellStyle name="40% - Accent2 5 4 4" xfId="15247"/>
    <cellStyle name="40% - Accent2 5 5" xfId="2319"/>
    <cellStyle name="40% - Accent2 5 5 2" xfId="11320"/>
    <cellStyle name="40% - Accent2 5 5 2 2" xfId="19136"/>
    <cellStyle name="40% - Accent2 5 5 3" xfId="15249"/>
    <cellStyle name="40% - Accent2 5 6" xfId="11307"/>
    <cellStyle name="40% - Accent2 5 6 2" xfId="19123"/>
    <cellStyle name="40% - Accent2 5 7" xfId="15236"/>
    <cellStyle name="40% - Accent2 6" xfId="2320"/>
    <cellStyle name="40% - Accent2 6 2" xfId="2321"/>
    <cellStyle name="40% - Accent2 6 2 2" xfId="2322"/>
    <cellStyle name="40% - Accent2 6 2 2 2" xfId="2323"/>
    <cellStyle name="40% - Accent2 6 2 2 2 2" xfId="11324"/>
    <cellStyle name="40% - Accent2 6 2 2 2 2 2" xfId="19140"/>
    <cellStyle name="40% - Accent2 6 2 2 2 3" xfId="15253"/>
    <cellStyle name="40% - Accent2 6 2 2 3" xfId="11323"/>
    <cellStyle name="40% - Accent2 6 2 2 3 2" xfId="19139"/>
    <cellStyle name="40% - Accent2 6 2 2 4" xfId="15252"/>
    <cellStyle name="40% - Accent2 6 2 3" xfId="2324"/>
    <cellStyle name="40% - Accent2 6 2 3 2" xfId="11325"/>
    <cellStyle name="40% - Accent2 6 2 3 2 2" xfId="19141"/>
    <cellStyle name="40% - Accent2 6 2 3 3" xfId="15254"/>
    <cellStyle name="40% - Accent2 6 2 4" xfId="11322"/>
    <cellStyle name="40% - Accent2 6 2 4 2" xfId="19138"/>
    <cellStyle name="40% - Accent2 6 2 5" xfId="15251"/>
    <cellStyle name="40% - Accent2 6 3" xfId="2325"/>
    <cellStyle name="40% - Accent2 6 3 2" xfId="2326"/>
    <cellStyle name="40% - Accent2 6 3 2 2" xfId="11327"/>
    <cellStyle name="40% - Accent2 6 3 2 2 2" xfId="19143"/>
    <cellStyle name="40% - Accent2 6 3 2 3" xfId="15256"/>
    <cellStyle name="40% - Accent2 6 3 3" xfId="11326"/>
    <cellStyle name="40% - Accent2 6 3 3 2" xfId="19142"/>
    <cellStyle name="40% - Accent2 6 3 4" xfId="15255"/>
    <cellStyle name="40% - Accent2 6 4" xfId="2327"/>
    <cellStyle name="40% - Accent2 6 4 2" xfId="11328"/>
    <cellStyle name="40% - Accent2 6 4 2 2" xfId="19144"/>
    <cellStyle name="40% - Accent2 6 4 3" xfId="15257"/>
    <cellStyle name="40% - Accent2 6 5" xfId="11321"/>
    <cellStyle name="40% - Accent2 6 5 2" xfId="19137"/>
    <cellStyle name="40% - Accent2 6 6" xfId="15250"/>
    <cellStyle name="40% - Accent2 7" xfId="2328"/>
    <cellStyle name="40% - Accent2 7 2" xfId="2329"/>
    <cellStyle name="40% - Accent2 7 2 2" xfId="2330"/>
    <cellStyle name="40% - Accent2 7 2 2 2" xfId="2331"/>
    <cellStyle name="40% - Accent2 7 2 2 2 2" xfId="11332"/>
    <cellStyle name="40% - Accent2 7 2 2 2 2 2" xfId="19148"/>
    <cellStyle name="40% - Accent2 7 2 2 2 3" xfId="15261"/>
    <cellStyle name="40% - Accent2 7 2 2 3" xfId="11331"/>
    <cellStyle name="40% - Accent2 7 2 2 3 2" xfId="19147"/>
    <cellStyle name="40% - Accent2 7 2 2 4" xfId="15260"/>
    <cellStyle name="40% - Accent2 7 2 3" xfId="2332"/>
    <cellStyle name="40% - Accent2 7 2 3 2" xfId="11333"/>
    <cellStyle name="40% - Accent2 7 2 3 2 2" xfId="19149"/>
    <cellStyle name="40% - Accent2 7 2 3 3" xfId="15262"/>
    <cellStyle name="40% - Accent2 7 2 4" xfId="11330"/>
    <cellStyle name="40% - Accent2 7 2 4 2" xfId="19146"/>
    <cellStyle name="40% - Accent2 7 2 5" xfId="15259"/>
    <cellStyle name="40% - Accent2 7 3" xfId="2333"/>
    <cellStyle name="40% - Accent2 7 3 2" xfId="2334"/>
    <cellStyle name="40% - Accent2 7 3 2 2" xfId="11335"/>
    <cellStyle name="40% - Accent2 7 3 2 2 2" xfId="19151"/>
    <cellStyle name="40% - Accent2 7 3 2 3" xfId="15264"/>
    <cellStyle name="40% - Accent2 7 3 3" xfId="11334"/>
    <cellStyle name="40% - Accent2 7 3 3 2" xfId="19150"/>
    <cellStyle name="40% - Accent2 7 3 4" xfId="15263"/>
    <cellStyle name="40% - Accent2 7 4" xfId="2335"/>
    <cellStyle name="40% - Accent2 7 4 2" xfId="11336"/>
    <cellStyle name="40% - Accent2 7 4 2 2" xfId="19152"/>
    <cellStyle name="40% - Accent2 7 4 3" xfId="15265"/>
    <cellStyle name="40% - Accent2 7 5" xfId="11329"/>
    <cellStyle name="40% - Accent2 7 5 2" xfId="19145"/>
    <cellStyle name="40% - Accent2 7 6" xfId="15258"/>
    <cellStyle name="40% - Accent2 8" xfId="2336"/>
    <cellStyle name="40% - Accent2 8 2" xfId="2337"/>
    <cellStyle name="40% - Accent2 8 2 2" xfId="2338"/>
    <cellStyle name="40% - Accent2 8 2 2 2" xfId="11339"/>
    <cellStyle name="40% - Accent2 8 2 2 2 2" xfId="19155"/>
    <cellStyle name="40% - Accent2 8 2 2 3" xfId="15268"/>
    <cellStyle name="40% - Accent2 8 2 3" xfId="11338"/>
    <cellStyle name="40% - Accent2 8 2 3 2" xfId="19154"/>
    <cellStyle name="40% - Accent2 8 2 4" xfId="15267"/>
    <cellStyle name="40% - Accent2 8 3" xfId="2339"/>
    <cellStyle name="40% - Accent2 8 3 2" xfId="11340"/>
    <cellStyle name="40% - Accent2 8 3 2 2" xfId="19156"/>
    <cellStyle name="40% - Accent2 8 3 3" xfId="15269"/>
    <cellStyle name="40% - Accent2 8 4" xfId="11337"/>
    <cellStyle name="40% - Accent2 8 4 2" xfId="19153"/>
    <cellStyle name="40% - Accent2 8 5" xfId="15266"/>
    <cellStyle name="40% - Accent2 9" xfId="2340"/>
    <cellStyle name="40% - Accent2 9 2" xfId="2341"/>
    <cellStyle name="40% - Accent2 9 2 2" xfId="11342"/>
    <cellStyle name="40% - Accent2 9 2 2 2" xfId="19158"/>
    <cellStyle name="40% - Accent2 9 2 3" xfId="15271"/>
    <cellStyle name="40% - Accent2 9 3" xfId="11341"/>
    <cellStyle name="40% - Accent2 9 3 2" xfId="19157"/>
    <cellStyle name="40% - Accent2 9 4" xfId="15270"/>
    <cellStyle name="40% - Accent3 10" xfId="2342"/>
    <cellStyle name="40% - Accent3 10 2" xfId="2343"/>
    <cellStyle name="40% - Accent3 10 2 2" xfId="11344"/>
    <cellStyle name="40% - Accent3 10 2 2 2" xfId="19160"/>
    <cellStyle name="40% - Accent3 10 2 3" xfId="15273"/>
    <cellStyle name="40% - Accent3 10 3" xfId="11343"/>
    <cellStyle name="40% - Accent3 10 3 2" xfId="19159"/>
    <cellStyle name="40% - Accent3 10 4" xfId="15272"/>
    <cellStyle name="40% - Accent3 11" xfId="2344"/>
    <cellStyle name="40% - Accent3 11 2" xfId="11345"/>
    <cellStyle name="40% - Accent3 11 2 2" xfId="19161"/>
    <cellStyle name="40% - Accent3 11 3" xfId="15274"/>
    <cellStyle name="40% - Accent3 12" xfId="2345"/>
    <cellStyle name="40% - Accent3 12 2" xfId="11346"/>
    <cellStyle name="40% - Accent3 12 2 2" xfId="19162"/>
    <cellStyle name="40% - Accent3 12 3" xfId="15275"/>
    <cellStyle name="40% - Accent3 2" xfId="2346"/>
    <cellStyle name="40% - Accent3 2 10" xfId="2347"/>
    <cellStyle name="40% - Accent3 2 10 2" xfId="11348"/>
    <cellStyle name="40% - Accent3 2 10 2 2" xfId="19164"/>
    <cellStyle name="40% - Accent3 2 10 3" xfId="15277"/>
    <cellStyle name="40% - Accent3 2 11" xfId="11347"/>
    <cellStyle name="40% - Accent3 2 11 2" xfId="19163"/>
    <cellStyle name="40% - Accent3 2 12" xfId="12944"/>
    <cellStyle name="40% - Accent3 2 13" xfId="15276"/>
    <cellStyle name="40% - Accent3 2 2" xfId="2348"/>
    <cellStyle name="40% - Accent3 2 2 10" xfId="15278"/>
    <cellStyle name="40% - Accent3 2 2 2" xfId="2349"/>
    <cellStyle name="40% - Accent3 2 2 2 2" xfId="2350"/>
    <cellStyle name="40% - Accent3 2 2 2 2 2" xfId="2351"/>
    <cellStyle name="40% - Accent3 2 2 2 2 2 2" xfId="2352"/>
    <cellStyle name="40% - Accent3 2 2 2 2 2 2 2" xfId="2353"/>
    <cellStyle name="40% - Accent3 2 2 2 2 2 2 2 2" xfId="11354"/>
    <cellStyle name="40% - Accent3 2 2 2 2 2 2 2 2 2" xfId="19170"/>
    <cellStyle name="40% - Accent3 2 2 2 2 2 2 2 3" xfId="15283"/>
    <cellStyle name="40% - Accent3 2 2 2 2 2 2 3" xfId="11353"/>
    <cellStyle name="40% - Accent3 2 2 2 2 2 2 3 2" xfId="19169"/>
    <cellStyle name="40% - Accent3 2 2 2 2 2 2 4" xfId="15282"/>
    <cellStyle name="40% - Accent3 2 2 2 2 2 3" xfId="2354"/>
    <cellStyle name="40% - Accent3 2 2 2 2 2 3 2" xfId="2355"/>
    <cellStyle name="40% - Accent3 2 2 2 2 2 3 2 2" xfId="11356"/>
    <cellStyle name="40% - Accent3 2 2 2 2 2 3 2 2 2" xfId="19172"/>
    <cellStyle name="40% - Accent3 2 2 2 2 2 3 2 3" xfId="15285"/>
    <cellStyle name="40% - Accent3 2 2 2 2 2 3 3" xfId="11355"/>
    <cellStyle name="40% - Accent3 2 2 2 2 2 3 3 2" xfId="19171"/>
    <cellStyle name="40% - Accent3 2 2 2 2 2 3 4" xfId="15284"/>
    <cellStyle name="40% - Accent3 2 2 2 2 2 4" xfId="2356"/>
    <cellStyle name="40% - Accent3 2 2 2 2 2 4 2" xfId="11357"/>
    <cellStyle name="40% - Accent3 2 2 2 2 2 4 2 2" xfId="19173"/>
    <cellStyle name="40% - Accent3 2 2 2 2 2 4 3" xfId="15286"/>
    <cellStyle name="40% - Accent3 2 2 2 2 2 5" xfId="11352"/>
    <cellStyle name="40% - Accent3 2 2 2 2 2 5 2" xfId="19168"/>
    <cellStyle name="40% - Accent3 2 2 2 2 2 6" xfId="15281"/>
    <cellStyle name="40% - Accent3 2 2 2 2 3" xfId="2357"/>
    <cellStyle name="40% - Accent3 2 2 2 2 3 2" xfId="2358"/>
    <cellStyle name="40% - Accent3 2 2 2 2 3 2 2" xfId="2359"/>
    <cellStyle name="40% - Accent3 2 2 2 2 3 2 2 2" xfId="11360"/>
    <cellStyle name="40% - Accent3 2 2 2 2 3 2 2 2 2" xfId="19176"/>
    <cellStyle name="40% - Accent3 2 2 2 2 3 2 2 3" xfId="15289"/>
    <cellStyle name="40% - Accent3 2 2 2 2 3 2 3" xfId="11359"/>
    <cellStyle name="40% - Accent3 2 2 2 2 3 2 3 2" xfId="19175"/>
    <cellStyle name="40% - Accent3 2 2 2 2 3 2 4" xfId="15288"/>
    <cellStyle name="40% - Accent3 2 2 2 2 3 3" xfId="2360"/>
    <cellStyle name="40% - Accent3 2 2 2 2 3 3 2" xfId="11361"/>
    <cellStyle name="40% - Accent3 2 2 2 2 3 3 2 2" xfId="19177"/>
    <cellStyle name="40% - Accent3 2 2 2 2 3 3 3" xfId="15290"/>
    <cellStyle name="40% - Accent3 2 2 2 2 3 4" xfId="11358"/>
    <cellStyle name="40% - Accent3 2 2 2 2 3 4 2" xfId="19174"/>
    <cellStyle name="40% - Accent3 2 2 2 2 3 5" xfId="15287"/>
    <cellStyle name="40% - Accent3 2 2 2 2 4" xfId="2361"/>
    <cellStyle name="40% - Accent3 2 2 2 2 4 2" xfId="2362"/>
    <cellStyle name="40% - Accent3 2 2 2 2 4 2 2" xfId="11363"/>
    <cellStyle name="40% - Accent3 2 2 2 2 4 2 2 2" xfId="19179"/>
    <cellStyle name="40% - Accent3 2 2 2 2 4 2 3" xfId="15292"/>
    <cellStyle name="40% - Accent3 2 2 2 2 4 3" xfId="11362"/>
    <cellStyle name="40% - Accent3 2 2 2 2 4 3 2" xfId="19178"/>
    <cellStyle name="40% - Accent3 2 2 2 2 4 4" xfId="15291"/>
    <cellStyle name="40% - Accent3 2 2 2 2 5" xfId="2363"/>
    <cellStyle name="40% - Accent3 2 2 2 2 5 2" xfId="11364"/>
    <cellStyle name="40% - Accent3 2 2 2 2 5 2 2" xfId="19180"/>
    <cellStyle name="40% - Accent3 2 2 2 2 5 3" xfId="15293"/>
    <cellStyle name="40% - Accent3 2 2 2 2 6" xfId="11351"/>
    <cellStyle name="40% - Accent3 2 2 2 2 6 2" xfId="19167"/>
    <cellStyle name="40% - Accent3 2 2 2 2 7" xfId="15280"/>
    <cellStyle name="40% - Accent3 2 2 2 3" xfId="2364"/>
    <cellStyle name="40% - Accent3 2 2 2 3 2" xfId="2365"/>
    <cellStyle name="40% - Accent3 2 2 2 3 2 2" xfId="2366"/>
    <cellStyle name="40% - Accent3 2 2 2 3 2 2 2" xfId="2367"/>
    <cellStyle name="40% - Accent3 2 2 2 3 2 2 2 2" xfId="11368"/>
    <cellStyle name="40% - Accent3 2 2 2 3 2 2 2 2 2" xfId="19184"/>
    <cellStyle name="40% - Accent3 2 2 2 3 2 2 2 3" xfId="15297"/>
    <cellStyle name="40% - Accent3 2 2 2 3 2 2 3" xfId="11367"/>
    <cellStyle name="40% - Accent3 2 2 2 3 2 2 3 2" xfId="19183"/>
    <cellStyle name="40% - Accent3 2 2 2 3 2 2 4" xfId="15296"/>
    <cellStyle name="40% - Accent3 2 2 2 3 2 3" xfId="2368"/>
    <cellStyle name="40% - Accent3 2 2 2 3 2 3 2" xfId="11369"/>
    <cellStyle name="40% - Accent3 2 2 2 3 2 3 2 2" xfId="19185"/>
    <cellStyle name="40% - Accent3 2 2 2 3 2 3 3" xfId="15298"/>
    <cellStyle name="40% - Accent3 2 2 2 3 2 4" xfId="11366"/>
    <cellStyle name="40% - Accent3 2 2 2 3 2 4 2" xfId="19182"/>
    <cellStyle name="40% - Accent3 2 2 2 3 2 5" xfId="15295"/>
    <cellStyle name="40% - Accent3 2 2 2 3 3" xfId="2369"/>
    <cellStyle name="40% - Accent3 2 2 2 3 3 2" xfId="2370"/>
    <cellStyle name="40% - Accent3 2 2 2 3 3 2 2" xfId="11371"/>
    <cellStyle name="40% - Accent3 2 2 2 3 3 2 2 2" xfId="19187"/>
    <cellStyle name="40% - Accent3 2 2 2 3 3 2 3" xfId="15300"/>
    <cellStyle name="40% - Accent3 2 2 2 3 3 3" xfId="11370"/>
    <cellStyle name="40% - Accent3 2 2 2 3 3 3 2" xfId="19186"/>
    <cellStyle name="40% - Accent3 2 2 2 3 3 4" xfId="15299"/>
    <cellStyle name="40% - Accent3 2 2 2 3 4" xfId="2371"/>
    <cellStyle name="40% - Accent3 2 2 2 3 4 2" xfId="2372"/>
    <cellStyle name="40% - Accent3 2 2 2 3 4 2 2" xfId="11373"/>
    <cellStyle name="40% - Accent3 2 2 2 3 4 2 2 2" xfId="19189"/>
    <cellStyle name="40% - Accent3 2 2 2 3 4 2 3" xfId="15302"/>
    <cellStyle name="40% - Accent3 2 2 2 3 4 3" xfId="11372"/>
    <cellStyle name="40% - Accent3 2 2 2 3 4 3 2" xfId="19188"/>
    <cellStyle name="40% - Accent3 2 2 2 3 4 4" xfId="15301"/>
    <cellStyle name="40% - Accent3 2 2 2 3 5" xfId="2373"/>
    <cellStyle name="40% - Accent3 2 2 2 3 5 2" xfId="11374"/>
    <cellStyle name="40% - Accent3 2 2 2 3 5 2 2" xfId="19190"/>
    <cellStyle name="40% - Accent3 2 2 2 3 5 3" xfId="15303"/>
    <cellStyle name="40% - Accent3 2 2 2 3 6" xfId="11365"/>
    <cellStyle name="40% - Accent3 2 2 2 3 6 2" xfId="19181"/>
    <cellStyle name="40% - Accent3 2 2 2 3 7" xfId="15294"/>
    <cellStyle name="40% - Accent3 2 2 2 4" xfId="2374"/>
    <cellStyle name="40% - Accent3 2 2 2 4 2" xfId="2375"/>
    <cellStyle name="40% - Accent3 2 2 2 4 2 2" xfId="2376"/>
    <cellStyle name="40% - Accent3 2 2 2 4 2 2 2" xfId="11377"/>
    <cellStyle name="40% - Accent3 2 2 2 4 2 2 2 2" xfId="19193"/>
    <cellStyle name="40% - Accent3 2 2 2 4 2 2 3" xfId="15306"/>
    <cellStyle name="40% - Accent3 2 2 2 4 2 3" xfId="11376"/>
    <cellStyle name="40% - Accent3 2 2 2 4 2 3 2" xfId="19192"/>
    <cellStyle name="40% - Accent3 2 2 2 4 2 4" xfId="15305"/>
    <cellStyle name="40% - Accent3 2 2 2 4 3" xfId="2377"/>
    <cellStyle name="40% - Accent3 2 2 2 4 3 2" xfId="11378"/>
    <cellStyle name="40% - Accent3 2 2 2 4 3 2 2" xfId="19194"/>
    <cellStyle name="40% - Accent3 2 2 2 4 3 3" xfId="15307"/>
    <cellStyle name="40% - Accent3 2 2 2 4 4" xfId="11375"/>
    <cellStyle name="40% - Accent3 2 2 2 4 4 2" xfId="19191"/>
    <cellStyle name="40% - Accent3 2 2 2 4 5" xfId="15304"/>
    <cellStyle name="40% - Accent3 2 2 2 5" xfId="2378"/>
    <cellStyle name="40% - Accent3 2 2 2 5 2" xfId="2379"/>
    <cellStyle name="40% - Accent3 2 2 2 5 2 2" xfId="11380"/>
    <cellStyle name="40% - Accent3 2 2 2 5 2 2 2" xfId="19196"/>
    <cellStyle name="40% - Accent3 2 2 2 5 2 3" xfId="15309"/>
    <cellStyle name="40% - Accent3 2 2 2 5 3" xfId="11379"/>
    <cellStyle name="40% - Accent3 2 2 2 5 3 2" xfId="19195"/>
    <cellStyle name="40% - Accent3 2 2 2 5 4" xfId="15308"/>
    <cellStyle name="40% - Accent3 2 2 2 6" xfId="2380"/>
    <cellStyle name="40% - Accent3 2 2 2 6 2" xfId="11381"/>
    <cellStyle name="40% - Accent3 2 2 2 6 2 2" xfId="19197"/>
    <cellStyle name="40% - Accent3 2 2 2 6 3" xfId="15310"/>
    <cellStyle name="40% - Accent3 2 2 2 7" xfId="11350"/>
    <cellStyle name="40% - Accent3 2 2 2 7 2" xfId="19166"/>
    <cellStyle name="40% - Accent3 2 2 2 8" xfId="15279"/>
    <cellStyle name="40% - Accent3 2 2 3" xfId="2381"/>
    <cellStyle name="40% - Accent3 2 2 3 2" xfId="2382"/>
    <cellStyle name="40% - Accent3 2 2 3 2 2" xfId="2383"/>
    <cellStyle name="40% - Accent3 2 2 3 2 2 2" xfId="2384"/>
    <cellStyle name="40% - Accent3 2 2 3 2 2 2 2" xfId="11385"/>
    <cellStyle name="40% - Accent3 2 2 3 2 2 2 2 2" xfId="19201"/>
    <cellStyle name="40% - Accent3 2 2 3 2 2 2 3" xfId="15314"/>
    <cellStyle name="40% - Accent3 2 2 3 2 2 3" xfId="11384"/>
    <cellStyle name="40% - Accent3 2 2 3 2 2 3 2" xfId="19200"/>
    <cellStyle name="40% - Accent3 2 2 3 2 2 4" xfId="15313"/>
    <cellStyle name="40% - Accent3 2 2 3 2 3" xfId="2385"/>
    <cellStyle name="40% - Accent3 2 2 3 2 3 2" xfId="2386"/>
    <cellStyle name="40% - Accent3 2 2 3 2 3 2 2" xfId="11387"/>
    <cellStyle name="40% - Accent3 2 2 3 2 3 2 2 2" xfId="19203"/>
    <cellStyle name="40% - Accent3 2 2 3 2 3 2 3" xfId="15316"/>
    <cellStyle name="40% - Accent3 2 2 3 2 3 3" xfId="11386"/>
    <cellStyle name="40% - Accent3 2 2 3 2 3 3 2" xfId="19202"/>
    <cellStyle name="40% - Accent3 2 2 3 2 3 4" xfId="15315"/>
    <cellStyle name="40% - Accent3 2 2 3 2 4" xfId="2387"/>
    <cellStyle name="40% - Accent3 2 2 3 2 4 2" xfId="11388"/>
    <cellStyle name="40% - Accent3 2 2 3 2 4 2 2" xfId="19204"/>
    <cellStyle name="40% - Accent3 2 2 3 2 4 3" xfId="15317"/>
    <cellStyle name="40% - Accent3 2 2 3 2 5" xfId="11383"/>
    <cellStyle name="40% - Accent3 2 2 3 2 5 2" xfId="19199"/>
    <cellStyle name="40% - Accent3 2 2 3 2 6" xfId="15312"/>
    <cellStyle name="40% - Accent3 2 2 3 3" xfId="2388"/>
    <cellStyle name="40% - Accent3 2 2 3 3 2" xfId="2389"/>
    <cellStyle name="40% - Accent3 2 2 3 3 2 2" xfId="2390"/>
    <cellStyle name="40% - Accent3 2 2 3 3 2 2 2" xfId="11391"/>
    <cellStyle name="40% - Accent3 2 2 3 3 2 2 2 2" xfId="19207"/>
    <cellStyle name="40% - Accent3 2 2 3 3 2 2 3" xfId="15320"/>
    <cellStyle name="40% - Accent3 2 2 3 3 2 3" xfId="11390"/>
    <cellStyle name="40% - Accent3 2 2 3 3 2 3 2" xfId="19206"/>
    <cellStyle name="40% - Accent3 2 2 3 3 2 4" xfId="15319"/>
    <cellStyle name="40% - Accent3 2 2 3 3 3" xfId="2391"/>
    <cellStyle name="40% - Accent3 2 2 3 3 3 2" xfId="11392"/>
    <cellStyle name="40% - Accent3 2 2 3 3 3 2 2" xfId="19208"/>
    <cellStyle name="40% - Accent3 2 2 3 3 3 3" xfId="15321"/>
    <cellStyle name="40% - Accent3 2 2 3 3 4" xfId="11389"/>
    <cellStyle name="40% - Accent3 2 2 3 3 4 2" xfId="19205"/>
    <cellStyle name="40% - Accent3 2 2 3 3 5" xfId="15318"/>
    <cellStyle name="40% - Accent3 2 2 3 4" xfId="2392"/>
    <cellStyle name="40% - Accent3 2 2 3 4 2" xfId="2393"/>
    <cellStyle name="40% - Accent3 2 2 3 4 2 2" xfId="11394"/>
    <cellStyle name="40% - Accent3 2 2 3 4 2 2 2" xfId="19210"/>
    <cellStyle name="40% - Accent3 2 2 3 4 2 3" xfId="15323"/>
    <cellStyle name="40% - Accent3 2 2 3 4 3" xfId="11393"/>
    <cellStyle name="40% - Accent3 2 2 3 4 3 2" xfId="19209"/>
    <cellStyle name="40% - Accent3 2 2 3 4 4" xfId="15322"/>
    <cellStyle name="40% - Accent3 2 2 3 5" xfId="2394"/>
    <cellStyle name="40% - Accent3 2 2 3 5 2" xfId="11395"/>
    <cellStyle name="40% - Accent3 2 2 3 5 2 2" xfId="19211"/>
    <cellStyle name="40% - Accent3 2 2 3 5 3" xfId="15324"/>
    <cellStyle name="40% - Accent3 2 2 3 6" xfId="11382"/>
    <cellStyle name="40% - Accent3 2 2 3 6 2" xfId="19198"/>
    <cellStyle name="40% - Accent3 2 2 3 7" xfId="15311"/>
    <cellStyle name="40% - Accent3 2 2 4" xfId="2395"/>
    <cellStyle name="40% - Accent3 2 2 4 2" xfId="2396"/>
    <cellStyle name="40% - Accent3 2 2 4 2 2" xfId="2397"/>
    <cellStyle name="40% - Accent3 2 2 4 2 2 2" xfId="2398"/>
    <cellStyle name="40% - Accent3 2 2 4 2 2 2 2" xfId="11399"/>
    <cellStyle name="40% - Accent3 2 2 4 2 2 2 2 2" xfId="19215"/>
    <cellStyle name="40% - Accent3 2 2 4 2 2 2 3" xfId="15328"/>
    <cellStyle name="40% - Accent3 2 2 4 2 2 3" xfId="11398"/>
    <cellStyle name="40% - Accent3 2 2 4 2 2 3 2" xfId="19214"/>
    <cellStyle name="40% - Accent3 2 2 4 2 2 4" xfId="15327"/>
    <cellStyle name="40% - Accent3 2 2 4 2 3" xfId="2399"/>
    <cellStyle name="40% - Accent3 2 2 4 2 3 2" xfId="11400"/>
    <cellStyle name="40% - Accent3 2 2 4 2 3 2 2" xfId="19216"/>
    <cellStyle name="40% - Accent3 2 2 4 2 3 3" xfId="15329"/>
    <cellStyle name="40% - Accent3 2 2 4 2 4" xfId="11397"/>
    <cellStyle name="40% - Accent3 2 2 4 2 4 2" xfId="19213"/>
    <cellStyle name="40% - Accent3 2 2 4 2 5" xfId="15326"/>
    <cellStyle name="40% - Accent3 2 2 4 3" xfId="2400"/>
    <cellStyle name="40% - Accent3 2 2 4 3 2" xfId="2401"/>
    <cellStyle name="40% - Accent3 2 2 4 3 2 2" xfId="11402"/>
    <cellStyle name="40% - Accent3 2 2 4 3 2 2 2" xfId="19218"/>
    <cellStyle name="40% - Accent3 2 2 4 3 2 3" xfId="15331"/>
    <cellStyle name="40% - Accent3 2 2 4 3 3" xfId="11401"/>
    <cellStyle name="40% - Accent3 2 2 4 3 3 2" xfId="19217"/>
    <cellStyle name="40% - Accent3 2 2 4 3 4" xfId="15330"/>
    <cellStyle name="40% - Accent3 2 2 4 4" xfId="2402"/>
    <cellStyle name="40% - Accent3 2 2 4 4 2" xfId="11403"/>
    <cellStyle name="40% - Accent3 2 2 4 4 2 2" xfId="19219"/>
    <cellStyle name="40% - Accent3 2 2 4 4 3" xfId="15332"/>
    <cellStyle name="40% - Accent3 2 2 4 5" xfId="11396"/>
    <cellStyle name="40% - Accent3 2 2 4 5 2" xfId="19212"/>
    <cellStyle name="40% - Accent3 2 2 4 6" xfId="15325"/>
    <cellStyle name="40% - Accent3 2 2 5" xfId="2403"/>
    <cellStyle name="40% - Accent3 2 2 5 2" xfId="2404"/>
    <cellStyle name="40% - Accent3 2 2 5 2 2" xfId="2405"/>
    <cellStyle name="40% - Accent3 2 2 5 2 2 2" xfId="2406"/>
    <cellStyle name="40% - Accent3 2 2 5 2 2 2 2" xfId="11407"/>
    <cellStyle name="40% - Accent3 2 2 5 2 2 2 2 2" xfId="19223"/>
    <cellStyle name="40% - Accent3 2 2 5 2 2 2 3" xfId="15336"/>
    <cellStyle name="40% - Accent3 2 2 5 2 2 3" xfId="11406"/>
    <cellStyle name="40% - Accent3 2 2 5 2 2 3 2" xfId="19222"/>
    <cellStyle name="40% - Accent3 2 2 5 2 2 4" xfId="15335"/>
    <cellStyle name="40% - Accent3 2 2 5 2 3" xfId="2407"/>
    <cellStyle name="40% - Accent3 2 2 5 2 3 2" xfId="11408"/>
    <cellStyle name="40% - Accent3 2 2 5 2 3 2 2" xfId="19224"/>
    <cellStyle name="40% - Accent3 2 2 5 2 3 3" xfId="15337"/>
    <cellStyle name="40% - Accent3 2 2 5 2 4" xfId="11405"/>
    <cellStyle name="40% - Accent3 2 2 5 2 4 2" xfId="19221"/>
    <cellStyle name="40% - Accent3 2 2 5 2 5" xfId="15334"/>
    <cellStyle name="40% - Accent3 2 2 5 3" xfId="2408"/>
    <cellStyle name="40% - Accent3 2 2 5 3 2" xfId="2409"/>
    <cellStyle name="40% - Accent3 2 2 5 3 2 2" xfId="11410"/>
    <cellStyle name="40% - Accent3 2 2 5 3 2 2 2" xfId="19226"/>
    <cellStyle name="40% - Accent3 2 2 5 3 2 3" xfId="15339"/>
    <cellStyle name="40% - Accent3 2 2 5 3 3" xfId="11409"/>
    <cellStyle name="40% - Accent3 2 2 5 3 3 2" xfId="19225"/>
    <cellStyle name="40% - Accent3 2 2 5 3 4" xfId="15338"/>
    <cellStyle name="40% - Accent3 2 2 5 4" xfId="2410"/>
    <cellStyle name="40% - Accent3 2 2 5 4 2" xfId="2411"/>
    <cellStyle name="40% - Accent3 2 2 5 4 2 2" xfId="11412"/>
    <cellStyle name="40% - Accent3 2 2 5 4 2 2 2" xfId="19228"/>
    <cellStyle name="40% - Accent3 2 2 5 4 2 3" xfId="15341"/>
    <cellStyle name="40% - Accent3 2 2 5 4 3" xfId="11411"/>
    <cellStyle name="40% - Accent3 2 2 5 4 3 2" xfId="19227"/>
    <cellStyle name="40% - Accent3 2 2 5 4 4" xfId="15340"/>
    <cellStyle name="40% - Accent3 2 2 5 5" xfId="2412"/>
    <cellStyle name="40% - Accent3 2 2 5 5 2" xfId="11413"/>
    <cellStyle name="40% - Accent3 2 2 5 5 2 2" xfId="19229"/>
    <cellStyle name="40% - Accent3 2 2 5 5 3" xfId="15342"/>
    <cellStyle name="40% - Accent3 2 2 5 6" xfId="11404"/>
    <cellStyle name="40% - Accent3 2 2 5 6 2" xfId="19220"/>
    <cellStyle name="40% - Accent3 2 2 5 7" xfId="15333"/>
    <cellStyle name="40% - Accent3 2 2 6" xfId="2413"/>
    <cellStyle name="40% - Accent3 2 2 6 2" xfId="2414"/>
    <cellStyle name="40% - Accent3 2 2 6 2 2" xfId="2415"/>
    <cellStyle name="40% - Accent3 2 2 6 2 2 2" xfId="11416"/>
    <cellStyle name="40% - Accent3 2 2 6 2 2 2 2" xfId="19232"/>
    <cellStyle name="40% - Accent3 2 2 6 2 2 3" xfId="15345"/>
    <cellStyle name="40% - Accent3 2 2 6 2 3" xfId="11415"/>
    <cellStyle name="40% - Accent3 2 2 6 2 3 2" xfId="19231"/>
    <cellStyle name="40% - Accent3 2 2 6 2 4" xfId="15344"/>
    <cellStyle name="40% - Accent3 2 2 6 3" xfId="2416"/>
    <cellStyle name="40% - Accent3 2 2 6 3 2" xfId="11417"/>
    <cellStyle name="40% - Accent3 2 2 6 3 2 2" xfId="19233"/>
    <cellStyle name="40% - Accent3 2 2 6 3 3" xfId="15346"/>
    <cellStyle name="40% - Accent3 2 2 6 4" xfId="11414"/>
    <cellStyle name="40% - Accent3 2 2 6 4 2" xfId="19230"/>
    <cellStyle name="40% - Accent3 2 2 6 5" xfId="15343"/>
    <cellStyle name="40% - Accent3 2 2 7" xfId="2417"/>
    <cellStyle name="40% - Accent3 2 2 7 2" xfId="2418"/>
    <cellStyle name="40% - Accent3 2 2 7 2 2" xfId="11419"/>
    <cellStyle name="40% - Accent3 2 2 7 2 2 2" xfId="19235"/>
    <cellStyle name="40% - Accent3 2 2 7 2 3" xfId="15348"/>
    <cellStyle name="40% - Accent3 2 2 7 3" xfId="11418"/>
    <cellStyle name="40% - Accent3 2 2 7 3 2" xfId="19234"/>
    <cellStyle name="40% - Accent3 2 2 7 4" xfId="15347"/>
    <cellStyle name="40% - Accent3 2 2 8" xfId="2419"/>
    <cellStyle name="40% - Accent3 2 2 8 2" xfId="11420"/>
    <cellStyle name="40% - Accent3 2 2 8 2 2" xfId="19236"/>
    <cellStyle name="40% - Accent3 2 2 8 3" xfId="15349"/>
    <cellStyle name="40% - Accent3 2 2 9" xfId="11349"/>
    <cellStyle name="40% - Accent3 2 2 9 2" xfId="19165"/>
    <cellStyle name="40% - Accent3 2 3" xfId="2420"/>
    <cellStyle name="40% - Accent3 2 3 2" xfId="2421"/>
    <cellStyle name="40% - Accent3 2 3 2 2" xfId="2422"/>
    <cellStyle name="40% - Accent3 2 3 2 2 2" xfId="2423"/>
    <cellStyle name="40% - Accent3 2 3 2 2 2 2" xfId="2424"/>
    <cellStyle name="40% - Accent3 2 3 2 2 2 2 2" xfId="11425"/>
    <cellStyle name="40% - Accent3 2 3 2 2 2 2 2 2" xfId="19241"/>
    <cellStyle name="40% - Accent3 2 3 2 2 2 2 3" xfId="15354"/>
    <cellStyle name="40% - Accent3 2 3 2 2 2 3" xfId="11424"/>
    <cellStyle name="40% - Accent3 2 3 2 2 2 3 2" xfId="19240"/>
    <cellStyle name="40% - Accent3 2 3 2 2 2 4" xfId="15353"/>
    <cellStyle name="40% - Accent3 2 3 2 2 3" xfId="2425"/>
    <cellStyle name="40% - Accent3 2 3 2 2 3 2" xfId="2426"/>
    <cellStyle name="40% - Accent3 2 3 2 2 3 2 2" xfId="11427"/>
    <cellStyle name="40% - Accent3 2 3 2 2 3 2 2 2" xfId="19243"/>
    <cellStyle name="40% - Accent3 2 3 2 2 3 2 3" xfId="15356"/>
    <cellStyle name="40% - Accent3 2 3 2 2 3 3" xfId="11426"/>
    <cellStyle name="40% - Accent3 2 3 2 2 3 3 2" xfId="19242"/>
    <cellStyle name="40% - Accent3 2 3 2 2 3 4" xfId="15355"/>
    <cellStyle name="40% - Accent3 2 3 2 2 4" xfId="2427"/>
    <cellStyle name="40% - Accent3 2 3 2 2 4 2" xfId="11428"/>
    <cellStyle name="40% - Accent3 2 3 2 2 4 2 2" xfId="19244"/>
    <cellStyle name="40% - Accent3 2 3 2 2 4 3" xfId="15357"/>
    <cellStyle name="40% - Accent3 2 3 2 2 5" xfId="11423"/>
    <cellStyle name="40% - Accent3 2 3 2 2 5 2" xfId="19239"/>
    <cellStyle name="40% - Accent3 2 3 2 2 6" xfId="15352"/>
    <cellStyle name="40% - Accent3 2 3 2 3" xfId="2428"/>
    <cellStyle name="40% - Accent3 2 3 2 3 2" xfId="2429"/>
    <cellStyle name="40% - Accent3 2 3 2 3 2 2" xfId="2430"/>
    <cellStyle name="40% - Accent3 2 3 2 3 2 2 2" xfId="11431"/>
    <cellStyle name="40% - Accent3 2 3 2 3 2 2 2 2" xfId="19247"/>
    <cellStyle name="40% - Accent3 2 3 2 3 2 2 3" xfId="15360"/>
    <cellStyle name="40% - Accent3 2 3 2 3 2 3" xfId="11430"/>
    <cellStyle name="40% - Accent3 2 3 2 3 2 3 2" xfId="19246"/>
    <cellStyle name="40% - Accent3 2 3 2 3 2 4" xfId="15359"/>
    <cellStyle name="40% - Accent3 2 3 2 3 3" xfId="2431"/>
    <cellStyle name="40% - Accent3 2 3 2 3 3 2" xfId="11432"/>
    <cellStyle name="40% - Accent3 2 3 2 3 3 2 2" xfId="19248"/>
    <cellStyle name="40% - Accent3 2 3 2 3 3 3" xfId="15361"/>
    <cellStyle name="40% - Accent3 2 3 2 3 4" xfId="11429"/>
    <cellStyle name="40% - Accent3 2 3 2 3 4 2" xfId="19245"/>
    <cellStyle name="40% - Accent3 2 3 2 3 5" xfId="15358"/>
    <cellStyle name="40% - Accent3 2 3 2 4" xfId="2432"/>
    <cellStyle name="40% - Accent3 2 3 2 4 2" xfId="2433"/>
    <cellStyle name="40% - Accent3 2 3 2 4 2 2" xfId="11434"/>
    <cellStyle name="40% - Accent3 2 3 2 4 2 2 2" xfId="19250"/>
    <cellStyle name="40% - Accent3 2 3 2 4 2 3" xfId="15363"/>
    <cellStyle name="40% - Accent3 2 3 2 4 3" xfId="11433"/>
    <cellStyle name="40% - Accent3 2 3 2 4 3 2" xfId="19249"/>
    <cellStyle name="40% - Accent3 2 3 2 4 4" xfId="15362"/>
    <cellStyle name="40% - Accent3 2 3 2 5" xfId="2434"/>
    <cellStyle name="40% - Accent3 2 3 2 5 2" xfId="11435"/>
    <cellStyle name="40% - Accent3 2 3 2 5 2 2" xfId="19251"/>
    <cellStyle name="40% - Accent3 2 3 2 5 3" xfId="15364"/>
    <cellStyle name="40% - Accent3 2 3 2 6" xfId="11422"/>
    <cellStyle name="40% - Accent3 2 3 2 6 2" xfId="19238"/>
    <cellStyle name="40% - Accent3 2 3 2 7" xfId="15351"/>
    <cellStyle name="40% - Accent3 2 3 3" xfId="2435"/>
    <cellStyle name="40% - Accent3 2 3 3 2" xfId="2436"/>
    <cellStyle name="40% - Accent3 2 3 3 2 2" xfId="2437"/>
    <cellStyle name="40% - Accent3 2 3 3 2 2 2" xfId="2438"/>
    <cellStyle name="40% - Accent3 2 3 3 2 2 2 2" xfId="11439"/>
    <cellStyle name="40% - Accent3 2 3 3 2 2 2 2 2" xfId="19255"/>
    <cellStyle name="40% - Accent3 2 3 3 2 2 2 3" xfId="15368"/>
    <cellStyle name="40% - Accent3 2 3 3 2 2 3" xfId="11438"/>
    <cellStyle name="40% - Accent3 2 3 3 2 2 3 2" xfId="19254"/>
    <cellStyle name="40% - Accent3 2 3 3 2 2 4" xfId="15367"/>
    <cellStyle name="40% - Accent3 2 3 3 2 3" xfId="2439"/>
    <cellStyle name="40% - Accent3 2 3 3 2 3 2" xfId="11440"/>
    <cellStyle name="40% - Accent3 2 3 3 2 3 2 2" xfId="19256"/>
    <cellStyle name="40% - Accent3 2 3 3 2 3 3" xfId="15369"/>
    <cellStyle name="40% - Accent3 2 3 3 2 4" xfId="11437"/>
    <cellStyle name="40% - Accent3 2 3 3 2 4 2" xfId="19253"/>
    <cellStyle name="40% - Accent3 2 3 3 2 5" xfId="15366"/>
    <cellStyle name="40% - Accent3 2 3 3 3" xfId="2440"/>
    <cellStyle name="40% - Accent3 2 3 3 3 2" xfId="2441"/>
    <cellStyle name="40% - Accent3 2 3 3 3 2 2" xfId="11442"/>
    <cellStyle name="40% - Accent3 2 3 3 3 2 2 2" xfId="19258"/>
    <cellStyle name="40% - Accent3 2 3 3 3 2 3" xfId="15371"/>
    <cellStyle name="40% - Accent3 2 3 3 3 3" xfId="11441"/>
    <cellStyle name="40% - Accent3 2 3 3 3 3 2" xfId="19257"/>
    <cellStyle name="40% - Accent3 2 3 3 3 4" xfId="15370"/>
    <cellStyle name="40% - Accent3 2 3 3 4" xfId="2442"/>
    <cellStyle name="40% - Accent3 2 3 3 4 2" xfId="2443"/>
    <cellStyle name="40% - Accent3 2 3 3 4 2 2" xfId="11444"/>
    <cellStyle name="40% - Accent3 2 3 3 4 2 2 2" xfId="19260"/>
    <cellStyle name="40% - Accent3 2 3 3 4 2 3" xfId="15373"/>
    <cellStyle name="40% - Accent3 2 3 3 4 3" xfId="11443"/>
    <cellStyle name="40% - Accent3 2 3 3 4 3 2" xfId="19259"/>
    <cellStyle name="40% - Accent3 2 3 3 4 4" xfId="15372"/>
    <cellStyle name="40% - Accent3 2 3 3 5" xfId="2444"/>
    <cellStyle name="40% - Accent3 2 3 3 5 2" xfId="11445"/>
    <cellStyle name="40% - Accent3 2 3 3 5 2 2" xfId="19261"/>
    <cellStyle name="40% - Accent3 2 3 3 5 3" xfId="15374"/>
    <cellStyle name="40% - Accent3 2 3 3 6" xfId="11436"/>
    <cellStyle name="40% - Accent3 2 3 3 6 2" xfId="19252"/>
    <cellStyle name="40% - Accent3 2 3 3 7" xfId="15365"/>
    <cellStyle name="40% - Accent3 2 3 4" xfId="2445"/>
    <cellStyle name="40% - Accent3 2 3 4 2" xfId="2446"/>
    <cellStyle name="40% - Accent3 2 3 4 2 2" xfId="2447"/>
    <cellStyle name="40% - Accent3 2 3 4 2 2 2" xfId="11448"/>
    <cellStyle name="40% - Accent3 2 3 4 2 2 2 2" xfId="19264"/>
    <cellStyle name="40% - Accent3 2 3 4 2 2 3" xfId="15377"/>
    <cellStyle name="40% - Accent3 2 3 4 2 3" xfId="11447"/>
    <cellStyle name="40% - Accent3 2 3 4 2 3 2" xfId="19263"/>
    <cellStyle name="40% - Accent3 2 3 4 2 4" xfId="15376"/>
    <cellStyle name="40% - Accent3 2 3 4 3" xfId="2448"/>
    <cellStyle name="40% - Accent3 2 3 4 3 2" xfId="11449"/>
    <cellStyle name="40% - Accent3 2 3 4 3 2 2" xfId="19265"/>
    <cellStyle name="40% - Accent3 2 3 4 3 3" xfId="15378"/>
    <cellStyle name="40% - Accent3 2 3 4 4" xfId="11446"/>
    <cellStyle name="40% - Accent3 2 3 4 4 2" xfId="19262"/>
    <cellStyle name="40% - Accent3 2 3 4 5" xfId="15375"/>
    <cellStyle name="40% - Accent3 2 3 5" xfId="2449"/>
    <cellStyle name="40% - Accent3 2 3 5 2" xfId="2450"/>
    <cellStyle name="40% - Accent3 2 3 5 2 2" xfId="11451"/>
    <cellStyle name="40% - Accent3 2 3 5 2 2 2" xfId="19267"/>
    <cellStyle name="40% - Accent3 2 3 5 2 3" xfId="15380"/>
    <cellStyle name="40% - Accent3 2 3 5 3" xfId="11450"/>
    <cellStyle name="40% - Accent3 2 3 5 3 2" xfId="19266"/>
    <cellStyle name="40% - Accent3 2 3 5 4" xfId="15379"/>
    <cellStyle name="40% - Accent3 2 3 6" xfId="2451"/>
    <cellStyle name="40% - Accent3 2 3 6 2" xfId="11452"/>
    <cellStyle name="40% - Accent3 2 3 6 2 2" xfId="19268"/>
    <cellStyle name="40% - Accent3 2 3 6 3" xfId="15381"/>
    <cellStyle name="40% - Accent3 2 3 7" xfId="11421"/>
    <cellStyle name="40% - Accent3 2 3 7 2" xfId="19237"/>
    <cellStyle name="40% - Accent3 2 3 8" xfId="15350"/>
    <cellStyle name="40% - Accent3 2 4" xfId="2452"/>
    <cellStyle name="40% - Accent3 2 4 2" xfId="2453"/>
    <cellStyle name="40% - Accent3 2 4 2 2" xfId="2454"/>
    <cellStyle name="40% - Accent3 2 4 2 2 2" xfId="2455"/>
    <cellStyle name="40% - Accent3 2 4 2 2 2 2" xfId="11456"/>
    <cellStyle name="40% - Accent3 2 4 2 2 2 2 2" xfId="19272"/>
    <cellStyle name="40% - Accent3 2 4 2 2 2 3" xfId="15385"/>
    <cellStyle name="40% - Accent3 2 4 2 2 3" xfId="11455"/>
    <cellStyle name="40% - Accent3 2 4 2 2 3 2" xfId="19271"/>
    <cellStyle name="40% - Accent3 2 4 2 2 4" xfId="15384"/>
    <cellStyle name="40% - Accent3 2 4 2 3" xfId="2456"/>
    <cellStyle name="40% - Accent3 2 4 2 3 2" xfId="2457"/>
    <cellStyle name="40% - Accent3 2 4 2 3 2 2" xfId="11458"/>
    <cellStyle name="40% - Accent3 2 4 2 3 2 2 2" xfId="19274"/>
    <cellStyle name="40% - Accent3 2 4 2 3 2 3" xfId="15387"/>
    <cellStyle name="40% - Accent3 2 4 2 3 3" xfId="11457"/>
    <cellStyle name="40% - Accent3 2 4 2 3 3 2" xfId="19273"/>
    <cellStyle name="40% - Accent3 2 4 2 3 4" xfId="15386"/>
    <cellStyle name="40% - Accent3 2 4 2 4" xfId="2458"/>
    <cellStyle name="40% - Accent3 2 4 2 4 2" xfId="11459"/>
    <cellStyle name="40% - Accent3 2 4 2 4 2 2" xfId="19275"/>
    <cellStyle name="40% - Accent3 2 4 2 4 3" xfId="15388"/>
    <cellStyle name="40% - Accent3 2 4 2 5" xfId="11454"/>
    <cellStyle name="40% - Accent3 2 4 2 5 2" xfId="19270"/>
    <cellStyle name="40% - Accent3 2 4 2 6" xfId="15383"/>
    <cellStyle name="40% - Accent3 2 4 3" xfId="2459"/>
    <cellStyle name="40% - Accent3 2 4 3 2" xfId="2460"/>
    <cellStyle name="40% - Accent3 2 4 3 2 2" xfId="2461"/>
    <cellStyle name="40% - Accent3 2 4 3 2 2 2" xfId="11462"/>
    <cellStyle name="40% - Accent3 2 4 3 2 2 2 2" xfId="19278"/>
    <cellStyle name="40% - Accent3 2 4 3 2 2 3" xfId="15391"/>
    <cellStyle name="40% - Accent3 2 4 3 2 3" xfId="11461"/>
    <cellStyle name="40% - Accent3 2 4 3 2 3 2" xfId="19277"/>
    <cellStyle name="40% - Accent3 2 4 3 2 4" xfId="15390"/>
    <cellStyle name="40% - Accent3 2 4 3 3" xfId="2462"/>
    <cellStyle name="40% - Accent3 2 4 3 3 2" xfId="11463"/>
    <cellStyle name="40% - Accent3 2 4 3 3 2 2" xfId="19279"/>
    <cellStyle name="40% - Accent3 2 4 3 3 3" xfId="15392"/>
    <cellStyle name="40% - Accent3 2 4 3 4" xfId="11460"/>
    <cellStyle name="40% - Accent3 2 4 3 4 2" xfId="19276"/>
    <cellStyle name="40% - Accent3 2 4 3 5" xfId="15389"/>
    <cellStyle name="40% - Accent3 2 4 4" xfId="2463"/>
    <cellStyle name="40% - Accent3 2 4 4 2" xfId="2464"/>
    <cellStyle name="40% - Accent3 2 4 4 2 2" xfId="11465"/>
    <cellStyle name="40% - Accent3 2 4 4 2 2 2" xfId="19281"/>
    <cellStyle name="40% - Accent3 2 4 4 2 3" xfId="15394"/>
    <cellStyle name="40% - Accent3 2 4 4 3" xfId="11464"/>
    <cellStyle name="40% - Accent3 2 4 4 3 2" xfId="19280"/>
    <cellStyle name="40% - Accent3 2 4 4 4" xfId="15393"/>
    <cellStyle name="40% - Accent3 2 4 5" xfId="2465"/>
    <cellStyle name="40% - Accent3 2 4 5 2" xfId="11466"/>
    <cellStyle name="40% - Accent3 2 4 5 2 2" xfId="19282"/>
    <cellStyle name="40% - Accent3 2 4 5 3" xfId="15395"/>
    <cellStyle name="40% - Accent3 2 4 6" xfId="11453"/>
    <cellStyle name="40% - Accent3 2 4 6 2" xfId="19269"/>
    <cellStyle name="40% - Accent3 2 4 7" xfId="15382"/>
    <cellStyle name="40% - Accent3 2 5" xfId="2466"/>
    <cellStyle name="40% - Accent3 2 5 2" xfId="2467"/>
    <cellStyle name="40% - Accent3 2 5 2 2" xfId="2468"/>
    <cellStyle name="40% - Accent3 2 5 2 2 2" xfId="2469"/>
    <cellStyle name="40% - Accent3 2 5 2 2 2 2" xfId="11470"/>
    <cellStyle name="40% - Accent3 2 5 2 2 2 2 2" xfId="19286"/>
    <cellStyle name="40% - Accent3 2 5 2 2 2 3" xfId="15399"/>
    <cellStyle name="40% - Accent3 2 5 2 2 3" xfId="11469"/>
    <cellStyle name="40% - Accent3 2 5 2 2 3 2" xfId="19285"/>
    <cellStyle name="40% - Accent3 2 5 2 2 4" xfId="15398"/>
    <cellStyle name="40% - Accent3 2 5 2 3" xfId="2470"/>
    <cellStyle name="40% - Accent3 2 5 2 3 2" xfId="11471"/>
    <cellStyle name="40% - Accent3 2 5 2 3 2 2" xfId="19287"/>
    <cellStyle name="40% - Accent3 2 5 2 3 3" xfId="15400"/>
    <cellStyle name="40% - Accent3 2 5 2 4" xfId="11468"/>
    <cellStyle name="40% - Accent3 2 5 2 4 2" xfId="19284"/>
    <cellStyle name="40% - Accent3 2 5 2 5" xfId="15397"/>
    <cellStyle name="40% - Accent3 2 5 3" xfId="2471"/>
    <cellStyle name="40% - Accent3 2 5 3 2" xfId="2472"/>
    <cellStyle name="40% - Accent3 2 5 3 2 2" xfId="11473"/>
    <cellStyle name="40% - Accent3 2 5 3 2 2 2" xfId="19289"/>
    <cellStyle name="40% - Accent3 2 5 3 2 3" xfId="15402"/>
    <cellStyle name="40% - Accent3 2 5 3 3" xfId="11472"/>
    <cellStyle name="40% - Accent3 2 5 3 3 2" xfId="19288"/>
    <cellStyle name="40% - Accent3 2 5 3 4" xfId="15401"/>
    <cellStyle name="40% - Accent3 2 5 4" xfId="2473"/>
    <cellStyle name="40% - Accent3 2 5 4 2" xfId="11474"/>
    <cellStyle name="40% - Accent3 2 5 4 2 2" xfId="19290"/>
    <cellStyle name="40% - Accent3 2 5 4 3" xfId="15403"/>
    <cellStyle name="40% - Accent3 2 5 5" xfId="11467"/>
    <cellStyle name="40% - Accent3 2 5 5 2" xfId="19283"/>
    <cellStyle name="40% - Accent3 2 5 6" xfId="15396"/>
    <cellStyle name="40% - Accent3 2 6" xfId="2474"/>
    <cellStyle name="40% - Accent3 2 6 2" xfId="2475"/>
    <cellStyle name="40% - Accent3 2 6 2 2" xfId="2476"/>
    <cellStyle name="40% - Accent3 2 6 2 2 2" xfId="2477"/>
    <cellStyle name="40% - Accent3 2 6 2 2 2 2" xfId="11478"/>
    <cellStyle name="40% - Accent3 2 6 2 2 2 2 2" xfId="19294"/>
    <cellStyle name="40% - Accent3 2 6 2 2 2 3" xfId="15407"/>
    <cellStyle name="40% - Accent3 2 6 2 2 3" xfId="11477"/>
    <cellStyle name="40% - Accent3 2 6 2 2 3 2" xfId="19293"/>
    <cellStyle name="40% - Accent3 2 6 2 2 4" xfId="15406"/>
    <cellStyle name="40% - Accent3 2 6 2 3" xfId="2478"/>
    <cellStyle name="40% - Accent3 2 6 2 3 2" xfId="11479"/>
    <cellStyle name="40% - Accent3 2 6 2 3 2 2" xfId="19295"/>
    <cellStyle name="40% - Accent3 2 6 2 3 3" xfId="15408"/>
    <cellStyle name="40% - Accent3 2 6 2 4" xfId="11476"/>
    <cellStyle name="40% - Accent3 2 6 2 4 2" xfId="19292"/>
    <cellStyle name="40% - Accent3 2 6 2 5" xfId="15405"/>
    <cellStyle name="40% - Accent3 2 6 3" xfId="2479"/>
    <cellStyle name="40% - Accent3 2 6 3 2" xfId="2480"/>
    <cellStyle name="40% - Accent3 2 6 3 2 2" xfId="11481"/>
    <cellStyle name="40% - Accent3 2 6 3 2 2 2" xfId="19297"/>
    <cellStyle name="40% - Accent3 2 6 3 2 3" xfId="15410"/>
    <cellStyle name="40% - Accent3 2 6 3 3" xfId="11480"/>
    <cellStyle name="40% - Accent3 2 6 3 3 2" xfId="19296"/>
    <cellStyle name="40% - Accent3 2 6 3 4" xfId="15409"/>
    <cellStyle name="40% - Accent3 2 6 4" xfId="2481"/>
    <cellStyle name="40% - Accent3 2 6 4 2" xfId="11482"/>
    <cellStyle name="40% - Accent3 2 6 4 2 2" xfId="19298"/>
    <cellStyle name="40% - Accent3 2 6 4 3" xfId="15411"/>
    <cellStyle name="40% - Accent3 2 6 5" xfId="11475"/>
    <cellStyle name="40% - Accent3 2 6 5 2" xfId="19291"/>
    <cellStyle name="40% - Accent3 2 6 6" xfId="15404"/>
    <cellStyle name="40% - Accent3 2 7" xfId="2482"/>
    <cellStyle name="40% - Accent3 2 7 2" xfId="2483"/>
    <cellStyle name="40% - Accent3 2 7 2 2" xfId="2484"/>
    <cellStyle name="40% - Accent3 2 7 2 2 2" xfId="11485"/>
    <cellStyle name="40% - Accent3 2 7 2 2 2 2" xfId="19301"/>
    <cellStyle name="40% - Accent3 2 7 2 2 3" xfId="15414"/>
    <cellStyle name="40% - Accent3 2 7 2 3" xfId="11484"/>
    <cellStyle name="40% - Accent3 2 7 2 3 2" xfId="19300"/>
    <cellStyle name="40% - Accent3 2 7 2 4" xfId="15413"/>
    <cellStyle name="40% - Accent3 2 7 3" xfId="2485"/>
    <cellStyle name="40% - Accent3 2 7 3 2" xfId="11486"/>
    <cellStyle name="40% - Accent3 2 7 3 2 2" xfId="19302"/>
    <cellStyle name="40% - Accent3 2 7 3 3" xfId="15415"/>
    <cellStyle name="40% - Accent3 2 7 4" xfId="11483"/>
    <cellStyle name="40% - Accent3 2 7 4 2" xfId="19299"/>
    <cellStyle name="40% - Accent3 2 7 5" xfId="15412"/>
    <cellStyle name="40% - Accent3 2 8" xfId="2486"/>
    <cellStyle name="40% - Accent3 2 8 2" xfId="2487"/>
    <cellStyle name="40% - Accent3 2 8 2 2" xfId="11488"/>
    <cellStyle name="40% - Accent3 2 8 2 2 2" xfId="19304"/>
    <cellStyle name="40% - Accent3 2 8 2 3" xfId="15417"/>
    <cellStyle name="40% - Accent3 2 8 3" xfId="11487"/>
    <cellStyle name="40% - Accent3 2 8 3 2" xfId="19303"/>
    <cellStyle name="40% - Accent3 2 8 4" xfId="15416"/>
    <cellStyle name="40% - Accent3 2 9" xfId="2488"/>
    <cellStyle name="40% - Accent3 2 9 2" xfId="2489"/>
    <cellStyle name="40% - Accent3 2 9 2 2" xfId="11490"/>
    <cellStyle name="40% - Accent3 2 9 2 2 2" xfId="19306"/>
    <cellStyle name="40% - Accent3 2 9 2 3" xfId="15419"/>
    <cellStyle name="40% - Accent3 2 9 3" xfId="11489"/>
    <cellStyle name="40% - Accent3 2 9 3 2" xfId="19305"/>
    <cellStyle name="40% - Accent3 2 9 4" xfId="15418"/>
    <cellStyle name="40% - Accent3 3" xfId="2490"/>
    <cellStyle name="40% - Accent3 3 2" xfId="2491"/>
    <cellStyle name="40% - Accent3 3 2 2" xfId="2492"/>
    <cellStyle name="40% - Accent3 3 2 2 2" xfId="2493"/>
    <cellStyle name="40% - Accent3 3 2 2 2 2" xfId="2494"/>
    <cellStyle name="40% - Accent3 3 2 2 2 2 2" xfId="2495"/>
    <cellStyle name="40% - Accent3 3 2 2 2 2 2 2" xfId="11495"/>
    <cellStyle name="40% - Accent3 3 2 2 2 2 2 2 2" xfId="19311"/>
    <cellStyle name="40% - Accent3 3 2 2 2 2 2 3" xfId="15424"/>
    <cellStyle name="40% - Accent3 3 2 2 2 2 3" xfId="11494"/>
    <cellStyle name="40% - Accent3 3 2 2 2 2 3 2" xfId="19310"/>
    <cellStyle name="40% - Accent3 3 2 2 2 2 4" xfId="15423"/>
    <cellStyle name="40% - Accent3 3 2 2 2 3" xfId="2496"/>
    <cellStyle name="40% - Accent3 3 2 2 2 3 2" xfId="2497"/>
    <cellStyle name="40% - Accent3 3 2 2 2 3 2 2" xfId="11497"/>
    <cellStyle name="40% - Accent3 3 2 2 2 3 2 2 2" xfId="19313"/>
    <cellStyle name="40% - Accent3 3 2 2 2 3 2 3" xfId="15426"/>
    <cellStyle name="40% - Accent3 3 2 2 2 3 3" xfId="11496"/>
    <cellStyle name="40% - Accent3 3 2 2 2 3 3 2" xfId="19312"/>
    <cellStyle name="40% - Accent3 3 2 2 2 3 4" xfId="15425"/>
    <cellStyle name="40% - Accent3 3 2 2 2 4" xfId="2498"/>
    <cellStyle name="40% - Accent3 3 2 2 2 4 2" xfId="11498"/>
    <cellStyle name="40% - Accent3 3 2 2 2 4 2 2" xfId="19314"/>
    <cellStyle name="40% - Accent3 3 2 2 2 4 3" xfId="15427"/>
    <cellStyle name="40% - Accent3 3 2 2 2 5" xfId="11493"/>
    <cellStyle name="40% - Accent3 3 2 2 2 5 2" xfId="19309"/>
    <cellStyle name="40% - Accent3 3 2 2 2 6" xfId="15422"/>
    <cellStyle name="40% - Accent3 3 2 2 3" xfId="2499"/>
    <cellStyle name="40% - Accent3 3 2 2 3 2" xfId="2500"/>
    <cellStyle name="40% - Accent3 3 2 2 3 2 2" xfId="2501"/>
    <cellStyle name="40% - Accent3 3 2 2 3 2 2 2" xfId="11501"/>
    <cellStyle name="40% - Accent3 3 2 2 3 2 2 2 2" xfId="19317"/>
    <cellStyle name="40% - Accent3 3 2 2 3 2 2 3" xfId="15430"/>
    <cellStyle name="40% - Accent3 3 2 2 3 2 3" xfId="11500"/>
    <cellStyle name="40% - Accent3 3 2 2 3 2 3 2" xfId="19316"/>
    <cellStyle name="40% - Accent3 3 2 2 3 2 4" xfId="15429"/>
    <cellStyle name="40% - Accent3 3 2 2 3 3" xfId="2502"/>
    <cellStyle name="40% - Accent3 3 2 2 3 3 2" xfId="11502"/>
    <cellStyle name="40% - Accent3 3 2 2 3 3 2 2" xfId="19318"/>
    <cellStyle name="40% - Accent3 3 2 2 3 3 3" xfId="15431"/>
    <cellStyle name="40% - Accent3 3 2 2 3 4" xfId="11499"/>
    <cellStyle name="40% - Accent3 3 2 2 3 4 2" xfId="19315"/>
    <cellStyle name="40% - Accent3 3 2 2 3 5" xfId="15428"/>
    <cellStyle name="40% - Accent3 3 2 2 4" xfId="2503"/>
    <cellStyle name="40% - Accent3 3 2 2 4 2" xfId="2504"/>
    <cellStyle name="40% - Accent3 3 2 2 4 2 2" xfId="11504"/>
    <cellStyle name="40% - Accent3 3 2 2 4 2 2 2" xfId="19320"/>
    <cellStyle name="40% - Accent3 3 2 2 4 2 3" xfId="15433"/>
    <cellStyle name="40% - Accent3 3 2 2 4 3" xfId="11503"/>
    <cellStyle name="40% - Accent3 3 2 2 4 3 2" xfId="19319"/>
    <cellStyle name="40% - Accent3 3 2 2 4 4" xfId="15432"/>
    <cellStyle name="40% - Accent3 3 2 2 5" xfId="2505"/>
    <cellStyle name="40% - Accent3 3 2 2 5 2" xfId="11505"/>
    <cellStyle name="40% - Accent3 3 2 2 5 2 2" xfId="19321"/>
    <cellStyle name="40% - Accent3 3 2 2 5 3" xfId="15434"/>
    <cellStyle name="40% - Accent3 3 2 2 6" xfId="11492"/>
    <cellStyle name="40% - Accent3 3 2 2 6 2" xfId="19308"/>
    <cellStyle name="40% - Accent3 3 2 2 7" xfId="15421"/>
    <cellStyle name="40% - Accent3 3 2 3" xfId="2506"/>
    <cellStyle name="40% - Accent3 3 2 3 2" xfId="2507"/>
    <cellStyle name="40% - Accent3 3 2 3 2 2" xfId="2508"/>
    <cellStyle name="40% - Accent3 3 2 3 2 2 2" xfId="2509"/>
    <cellStyle name="40% - Accent3 3 2 3 2 2 2 2" xfId="11509"/>
    <cellStyle name="40% - Accent3 3 2 3 2 2 2 2 2" xfId="19325"/>
    <cellStyle name="40% - Accent3 3 2 3 2 2 2 3" xfId="15438"/>
    <cellStyle name="40% - Accent3 3 2 3 2 2 3" xfId="11508"/>
    <cellStyle name="40% - Accent3 3 2 3 2 2 3 2" xfId="19324"/>
    <cellStyle name="40% - Accent3 3 2 3 2 2 4" xfId="15437"/>
    <cellStyle name="40% - Accent3 3 2 3 2 3" xfId="2510"/>
    <cellStyle name="40% - Accent3 3 2 3 2 3 2" xfId="11510"/>
    <cellStyle name="40% - Accent3 3 2 3 2 3 2 2" xfId="19326"/>
    <cellStyle name="40% - Accent3 3 2 3 2 3 3" xfId="15439"/>
    <cellStyle name="40% - Accent3 3 2 3 2 4" xfId="11507"/>
    <cellStyle name="40% - Accent3 3 2 3 2 4 2" xfId="19323"/>
    <cellStyle name="40% - Accent3 3 2 3 2 5" xfId="15436"/>
    <cellStyle name="40% - Accent3 3 2 3 3" xfId="2511"/>
    <cellStyle name="40% - Accent3 3 2 3 3 2" xfId="2512"/>
    <cellStyle name="40% - Accent3 3 2 3 3 2 2" xfId="11512"/>
    <cellStyle name="40% - Accent3 3 2 3 3 2 2 2" xfId="19328"/>
    <cellStyle name="40% - Accent3 3 2 3 3 2 3" xfId="15441"/>
    <cellStyle name="40% - Accent3 3 2 3 3 3" xfId="11511"/>
    <cellStyle name="40% - Accent3 3 2 3 3 3 2" xfId="19327"/>
    <cellStyle name="40% - Accent3 3 2 3 3 4" xfId="15440"/>
    <cellStyle name="40% - Accent3 3 2 3 4" xfId="2513"/>
    <cellStyle name="40% - Accent3 3 2 3 4 2" xfId="2514"/>
    <cellStyle name="40% - Accent3 3 2 3 4 2 2" xfId="11514"/>
    <cellStyle name="40% - Accent3 3 2 3 4 2 2 2" xfId="19330"/>
    <cellStyle name="40% - Accent3 3 2 3 4 2 3" xfId="15443"/>
    <cellStyle name="40% - Accent3 3 2 3 4 3" xfId="11513"/>
    <cellStyle name="40% - Accent3 3 2 3 4 3 2" xfId="19329"/>
    <cellStyle name="40% - Accent3 3 2 3 4 4" xfId="15442"/>
    <cellStyle name="40% - Accent3 3 2 3 5" xfId="2515"/>
    <cellStyle name="40% - Accent3 3 2 3 5 2" xfId="11515"/>
    <cellStyle name="40% - Accent3 3 2 3 5 2 2" xfId="19331"/>
    <cellStyle name="40% - Accent3 3 2 3 5 3" xfId="15444"/>
    <cellStyle name="40% - Accent3 3 2 3 6" xfId="11506"/>
    <cellStyle name="40% - Accent3 3 2 3 6 2" xfId="19322"/>
    <cellStyle name="40% - Accent3 3 2 3 7" xfId="15435"/>
    <cellStyle name="40% - Accent3 3 2 4" xfId="2516"/>
    <cellStyle name="40% - Accent3 3 2 4 2" xfId="2517"/>
    <cellStyle name="40% - Accent3 3 2 4 2 2" xfId="2518"/>
    <cellStyle name="40% - Accent3 3 2 4 2 2 2" xfId="11518"/>
    <cellStyle name="40% - Accent3 3 2 4 2 2 2 2" xfId="19334"/>
    <cellStyle name="40% - Accent3 3 2 4 2 2 3" xfId="15447"/>
    <cellStyle name="40% - Accent3 3 2 4 2 3" xfId="11517"/>
    <cellStyle name="40% - Accent3 3 2 4 2 3 2" xfId="19333"/>
    <cellStyle name="40% - Accent3 3 2 4 2 4" xfId="15446"/>
    <cellStyle name="40% - Accent3 3 2 4 3" xfId="2519"/>
    <cellStyle name="40% - Accent3 3 2 4 3 2" xfId="11519"/>
    <cellStyle name="40% - Accent3 3 2 4 3 2 2" xfId="19335"/>
    <cellStyle name="40% - Accent3 3 2 4 3 3" xfId="15448"/>
    <cellStyle name="40% - Accent3 3 2 4 4" xfId="11516"/>
    <cellStyle name="40% - Accent3 3 2 4 4 2" xfId="19332"/>
    <cellStyle name="40% - Accent3 3 2 4 5" xfId="15445"/>
    <cellStyle name="40% - Accent3 3 2 5" xfId="2520"/>
    <cellStyle name="40% - Accent3 3 2 5 2" xfId="2521"/>
    <cellStyle name="40% - Accent3 3 2 5 2 2" xfId="11521"/>
    <cellStyle name="40% - Accent3 3 2 5 2 2 2" xfId="19337"/>
    <cellStyle name="40% - Accent3 3 2 5 2 3" xfId="15450"/>
    <cellStyle name="40% - Accent3 3 2 5 3" xfId="11520"/>
    <cellStyle name="40% - Accent3 3 2 5 3 2" xfId="19336"/>
    <cellStyle name="40% - Accent3 3 2 5 4" xfId="15449"/>
    <cellStyle name="40% - Accent3 3 2 6" xfId="2522"/>
    <cellStyle name="40% - Accent3 3 2 6 2" xfId="11522"/>
    <cellStyle name="40% - Accent3 3 2 6 2 2" xfId="19338"/>
    <cellStyle name="40% - Accent3 3 2 6 3" xfId="15451"/>
    <cellStyle name="40% - Accent3 3 2 7" xfId="11491"/>
    <cellStyle name="40% - Accent3 3 2 7 2" xfId="19307"/>
    <cellStyle name="40% - Accent3 3 2 8" xfId="15420"/>
    <cellStyle name="40% - Accent3 3 3" xfId="2523"/>
    <cellStyle name="40% - Accent3 3 3 2" xfId="2524"/>
    <cellStyle name="40% - Accent3 3 3 2 2" xfId="2525"/>
    <cellStyle name="40% - Accent3 3 3 2 2 2" xfId="2526"/>
    <cellStyle name="40% - Accent3 3 3 2 2 2 2" xfId="11526"/>
    <cellStyle name="40% - Accent3 3 3 2 2 2 2 2" xfId="19342"/>
    <cellStyle name="40% - Accent3 3 3 2 2 2 3" xfId="15455"/>
    <cellStyle name="40% - Accent3 3 3 2 2 3" xfId="11525"/>
    <cellStyle name="40% - Accent3 3 3 2 2 3 2" xfId="19341"/>
    <cellStyle name="40% - Accent3 3 3 2 2 4" xfId="15454"/>
    <cellStyle name="40% - Accent3 3 3 2 3" xfId="2527"/>
    <cellStyle name="40% - Accent3 3 3 2 3 2" xfId="2528"/>
    <cellStyle name="40% - Accent3 3 3 2 3 2 2" xfId="11528"/>
    <cellStyle name="40% - Accent3 3 3 2 3 2 2 2" xfId="19344"/>
    <cellStyle name="40% - Accent3 3 3 2 3 2 3" xfId="15457"/>
    <cellStyle name="40% - Accent3 3 3 2 3 3" xfId="11527"/>
    <cellStyle name="40% - Accent3 3 3 2 3 3 2" xfId="19343"/>
    <cellStyle name="40% - Accent3 3 3 2 3 4" xfId="15456"/>
    <cellStyle name="40% - Accent3 3 3 2 4" xfId="2529"/>
    <cellStyle name="40% - Accent3 3 3 2 4 2" xfId="11529"/>
    <cellStyle name="40% - Accent3 3 3 2 4 2 2" xfId="19345"/>
    <cellStyle name="40% - Accent3 3 3 2 4 3" xfId="15458"/>
    <cellStyle name="40% - Accent3 3 3 2 5" xfId="11524"/>
    <cellStyle name="40% - Accent3 3 3 2 5 2" xfId="19340"/>
    <cellStyle name="40% - Accent3 3 3 2 6" xfId="15453"/>
    <cellStyle name="40% - Accent3 3 3 3" xfId="2530"/>
    <cellStyle name="40% - Accent3 3 3 3 2" xfId="2531"/>
    <cellStyle name="40% - Accent3 3 3 3 2 2" xfId="2532"/>
    <cellStyle name="40% - Accent3 3 3 3 2 2 2" xfId="11532"/>
    <cellStyle name="40% - Accent3 3 3 3 2 2 2 2" xfId="19348"/>
    <cellStyle name="40% - Accent3 3 3 3 2 2 3" xfId="15461"/>
    <cellStyle name="40% - Accent3 3 3 3 2 3" xfId="11531"/>
    <cellStyle name="40% - Accent3 3 3 3 2 3 2" xfId="19347"/>
    <cellStyle name="40% - Accent3 3 3 3 2 4" xfId="15460"/>
    <cellStyle name="40% - Accent3 3 3 3 3" xfId="2533"/>
    <cellStyle name="40% - Accent3 3 3 3 3 2" xfId="11533"/>
    <cellStyle name="40% - Accent3 3 3 3 3 2 2" xfId="19349"/>
    <cellStyle name="40% - Accent3 3 3 3 3 3" xfId="15462"/>
    <cellStyle name="40% - Accent3 3 3 3 4" xfId="11530"/>
    <cellStyle name="40% - Accent3 3 3 3 4 2" xfId="19346"/>
    <cellStyle name="40% - Accent3 3 3 3 5" xfId="15459"/>
    <cellStyle name="40% - Accent3 3 3 4" xfId="2534"/>
    <cellStyle name="40% - Accent3 3 3 4 2" xfId="2535"/>
    <cellStyle name="40% - Accent3 3 3 4 2 2" xfId="11535"/>
    <cellStyle name="40% - Accent3 3 3 4 2 2 2" xfId="19351"/>
    <cellStyle name="40% - Accent3 3 3 4 2 3" xfId="15464"/>
    <cellStyle name="40% - Accent3 3 3 4 3" xfId="11534"/>
    <cellStyle name="40% - Accent3 3 3 4 3 2" xfId="19350"/>
    <cellStyle name="40% - Accent3 3 3 4 4" xfId="15463"/>
    <cellStyle name="40% - Accent3 3 3 5" xfId="2536"/>
    <cellStyle name="40% - Accent3 3 3 5 2" xfId="11536"/>
    <cellStyle name="40% - Accent3 3 3 5 2 2" xfId="19352"/>
    <cellStyle name="40% - Accent3 3 3 5 3" xfId="15465"/>
    <cellStyle name="40% - Accent3 3 3 6" xfId="11523"/>
    <cellStyle name="40% - Accent3 3 3 6 2" xfId="19339"/>
    <cellStyle name="40% - Accent3 3 3 7" xfId="15452"/>
    <cellStyle name="40% - Accent3 3 4" xfId="2537"/>
    <cellStyle name="40% - Accent3 3 4 2" xfId="2538"/>
    <cellStyle name="40% - Accent3 3 4 2 2" xfId="2539"/>
    <cellStyle name="40% - Accent3 3 4 2 2 2" xfId="2540"/>
    <cellStyle name="40% - Accent3 3 4 2 2 2 2" xfId="11540"/>
    <cellStyle name="40% - Accent3 3 4 2 2 2 2 2" xfId="19356"/>
    <cellStyle name="40% - Accent3 3 4 2 2 2 3" xfId="15469"/>
    <cellStyle name="40% - Accent3 3 4 2 2 3" xfId="11539"/>
    <cellStyle name="40% - Accent3 3 4 2 2 3 2" xfId="19355"/>
    <cellStyle name="40% - Accent3 3 4 2 2 4" xfId="15468"/>
    <cellStyle name="40% - Accent3 3 4 2 3" xfId="2541"/>
    <cellStyle name="40% - Accent3 3 4 2 3 2" xfId="11541"/>
    <cellStyle name="40% - Accent3 3 4 2 3 2 2" xfId="19357"/>
    <cellStyle name="40% - Accent3 3 4 2 3 3" xfId="15470"/>
    <cellStyle name="40% - Accent3 3 4 2 4" xfId="11538"/>
    <cellStyle name="40% - Accent3 3 4 2 4 2" xfId="19354"/>
    <cellStyle name="40% - Accent3 3 4 2 5" xfId="15467"/>
    <cellStyle name="40% - Accent3 3 4 3" xfId="2542"/>
    <cellStyle name="40% - Accent3 3 4 3 2" xfId="2543"/>
    <cellStyle name="40% - Accent3 3 4 3 2 2" xfId="11543"/>
    <cellStyle name="40% - Accent3 3 4 3 2 2 2" xfId="19359"/>
    <cellStyle name="40% - Accent3 3 4 3 2 3" xfId="15472"/>
    <cellStyle name="40% - Accent3 3 4 3 3" xfId="11542"/>
    <cellStyle name="40% - Accent3 3 4 3 3 2" xfId="19358"/>
    <cellStyle name="40% - Accent3 3 4 3 4" xfId="15471"/>
    <cellStyle name="40% - Accent3 3 4 4" xfId="2544"/>
    <cellStyle name="40% - Accent3 3 4 4 2" xfId="11544"/>
    <cellStyle name="40% - Accent3 3 4 4 2 2" xfId="19360"/>
    <cellStyle name="40% - Accent3 3 4 4 3" xfId="15473"/>
    <cellStyle name="40% - Accent3 3 4 5" xfId="11537"/>
    <cellStyle name="40% - Accent3 3 4 5 2" xfId="19353"/>
    <cellStyle name="40% - Accent3 3 4 6" xfId="15466"/>
    <cellStyle name="40% - Accent3 3 5" xfId="2545"/>
    <cellStyle name="40% - Accent3 3 5 2" xfId="2546"/>
    <cellStyle name="40% - Accent3 3 5 2 2" xfId="2547"/>
    <cellStyle name="40% - Accent3 3 5 2 2 2" xfId="2548"/>
    <cellStyle name="40% - Accent3 3 5 2 2 2 2" xfId="11548"/>
    <cellStyle name="40% - Accent3 3 5 2 2 2 2 2" xfId="19364"/>
    <cellStyle name="40% - Accent3 3 5 2 2 2 3" xfId="15477"/>
    <cellStyle name="40% - Accent3 3 5 2 2 3" xfId="11547"/>
    <cellStyle name="40% - Accent3 3 5 2 2 3 2" xfId="19363"/>
    <cellStyle name="40% - Accent3 3 5 2 2 4" xfId="15476"/>
    <cellStyle name="40% - Accent3 3 5 2 3" xfId="2549"/>
    <cellStyle name="40% - Accent3 3 5 2 3 2" xfId="11549"/>
    <cellStyle name="40% - Accent3 3 5 2 3 2 2" xfId="19365"/>
    <cellStyle name="40% - Accent3 3 5 2 3 3" xfId="15478"/>
    <cellStyle name="40% - Accent3 3 5 2 4" xfId="11546"/>
    <cellStyle name="40% - Accent3 3 5 2 4 2" xfId="19362"/>
    <cellStyle name="40% - Accent3 3 5 2 5" xfId="15475"/>
    <cellStyle name="40% - Accent3 3 5 3" xfId="2550"/>
    <cellStyle name="40% - Accent3 3 5 3 2" xfId="2551"/>
    <cellStyle name="40% - Accent3 3 5 3 2 2" xfId="11551"/>
    <cellStyle name="40% - Accent3 3 5 3 2 2 2" xfId="19367"/>
    <cellStyle name="40% - Accent3 3 5 3 2 3" xfId="15480"/>
    <cellStyle name="40% - Accent3 3 5 3 3" xfId="11550"/>
    <cellStyle name="40% - Accent3 3 5 3 3 2" xfId="19366"/>
    <cellStyle name="40% - Accent3 3 5 3 4" xfId="15479"/>
    <cellStyle name="40% - Accent3 3 5 4" xfId="2552"/>
    <cellStyle name="40% - Accent3 3 5 4 2" xfId="2553"/>
    <cellStyle name="40% - Accent3 3 5 4 2 2" xfId="11553"/>
    <cellStyle name="40% - Accent3 3 5 4 2 2 2" xfId="19369"/>
    <cellStyle name="40% - Accent3 3 5 4 2 3" xfId="15482"/>
    <cellStyle name="40% - Accent3 3 5 4 3" xfId="11552"/>
    <cellStyle name="40% - Accent3 3 5 4 3 2" xfId="19368"/>
    <cellStyle name="40% - Accent3 3 5 4 4" xfId="15481"/>
    <cellStyle name="40% - Accent3 3 5 5" xfId="2554"/>
    <cellStyle name="40% - Accent3 3 5 5 2" xfId="11554"/>
    <cellStyle name="40% - Accent3 3 5 5 2 2" xfId="19370"/>
    <cellStyle name="40% - Accent3 3 5 5 3" xfId="15483"/>
    <cellStyle name="40% - Accent3 3 5 6" xfId="11545"/>
    <cellStyle name="40% - Accent3 3 5 6 2" xfId="19361"/>
    <cellStyle name="40% - Accent3 3 5 7" xfId="15474"/>
    <cellStyle name="40% - Accent3 3 6" xfId="2555"/>
    <cellStyle name="40% - Accent3 3 6 2" xfId="2556"/>
    <cellStyle name="40% - Accent3 3 6 2 2" xfId="2557"/>
    <cellStyle name="40% - Accent3 3 6 2 2 2" xfId="11557"/>
    <cellStyle name="40% - Accent3 3 6 2 2 2 2" xfId="19373"/>
    <cellStyle name="40% - Accent3 3 6 2 2 3" xfId="15486"/>
    <cellStyle name="40% - Accent3 3 6 2 3" xfId="11556"/>
    <cellStyle name="40% - Accent3 3 6 2 3 2" xfId="19372"/>
    <cellStyle name="40% - Accent3 3 6 2 4" xfId="15485"/>
    <cellStyle name="40% - Accent3 3 6 3" xfId="2558"/>
    <cellStyle name="40% - Accent3 3 6 3 2" xfId="11558"/>
    <cellStyle name="40% - Accent3 3 6 3 2 2" xfId="19374"/>
    <cellStyle name="40% - Accent3 3 6 3 3" xfId="15487"/>
    <cellStyle name="40% - Accent3 3 6 4" xfId="11555"/>
    <cellStyle name="40% - Accent3 3 6 4 2" xfId="19371"/>
    <cellStyle name="40% - Accent3 3 6 5" xfId="15484"/>
    <cellStyle name="40% - Accent3 3 7" xfId="2559"/>
    <cellStyle name="40% - Accent3 3 7 2" xfId="2560"/>
    <cellStyle name="40% - Accent3 3 7 2 2" xfId="11560"/>
    <cellStyle name="40% - Accent3 3 7 2 2 2" xfId="19376"/>
    <cellStyle name="40% - Accent3 3 7 2 3" xfId="15489"/>
    <cellStyle name="40% - Accent3 3 7 3" xfId="11559"/>
    <cellStyle name="40% - Accent3 3 7 3 2" xfId="19375"/>
    <cellStyle name="40% - Accent3 3 7 4" xfId="15488"/>
    <cellStyle name="40% - Accent3 3 8" xfId="2561"/>
    <cellStyle name="40% - Accent3 3 8 2" xfId="11561"/>
    <cellStyle name="40% - Accent3 3 8 2 2" xfId="19377"/>
    <cellStyle name="40% - Accent3 3 8 3" xfId="15490"/>
    <cellStyle name="40% - Accent3 3 9" xfId="2562"/>
    <cellStyle name="40% - Accent3 3 9 2" xfId="11562"/>
    <cellStyle name="40% - Accent3 3 9 2 2" xfId="19378"/>
    <cellStyle name="40% - Accent3 3 9 3" xfId="15491"/>
    <cellStyle name="40% - Accent3 4" xfId="2563"/>
    <cellStyle name="40% - Accent3 4 2" xfId="2564"/>
    <cellStyle name="40% - Accent3 4 2 2" xfId="2565"/>
    <cellStyle name="40% - Accent3 4 2 2 2" xfId="2566"/>
    <cellStyle name="40% - Accent3 4 2 2 2 2" xfId="2567"/>
    <cellStyle name="40% - Accent3 4 2 2 2 2 2" xfId="11567"/>
    <cellStyle name="40% - Accent3 4 2 2 2 2 2 2" xfId="19383"/>
    <cellStyle name="40% - Accent3 4 2 2 2 2 3" xfId="15496"/>
    <cellStyle name="40% - Accent3 4 2 2 2 3" xfId="11566"/>
    <cellStyle name="40% - Accent3 4 2 2 2 3 2" xfId="19382"/>
    <cellStyle name="40% - Accent3 4 2 2 2 4" xfId="15495"/>
    <cellStyle name="40% - Accent3 4 2 2 3" xfId="2568"/>
    <cellStyle name="40% - Accent3 4 2 2 3 2" xfId="2569"/>
    <cellStyle name="40% - Accent3 4 2 2 3 2 2" xfId="11569"/>
    <cellStyle name="40% - Accent3 4 2 2 3 2 2 2" xfId="19385"/>
    <cellStyle name="40% - Accent3 4 2 2 3 2 3" xfId="15498"/>
    <cellStyle name="40% - Accent3 4 2 2 3 3" xfId="11568"/>
    <cellStyle name="40% - Accent3 4 2 2 3 3 2" xfId="19384"/>
    <cellStyle name="40% - Accent3 4 2 2 3 4" xfId="15497"/>
    <cellStyle name="40% - Accent3 4 2 2 4" xfId="2570"/>
    <cellStyle name="40% - Accent3 4 2 2 4 2" xfId="11570"/>
    <cellStyle name="40% - Accent3 4 2 2 4 2 2" xfId="19386"/>
    <cellStyle name="40% - Accent3 4 2 2 4 3" xfId="15499"/>
    <cellStyle name="40% - Accent3 4 2 2 5" xfId="11565"/>
    <cellStyle name="40% - Accent3 4 2 2 5 2" xfId="19381"/>
    <cellStyle name="40% - Accent3 4 2 2 6" xfId="15494"/>
    <cellStyle name="40% - Accent3 4 2 3" xfId="2571"/>
    <cellStyle name="40% - Accent3 4 2 3 2" xfId="2572"/>
    <cellStyle name="40% - Accent3 4 2 3 2 2" xfId="2573"/>
    <cellStyle name="40% - Accent3 4 2 3 2 2 2" xfId="11573"/>
    <cellStyle name="40% - Accent3 4 2 3 2 2 2 2" xfId="19389"/>
    <cellStyle name="40% - Accent3 4 2 3 2 2 3" xfId="15502"/>
    <cellStyle name="40% - Accent3 4 2 3 2 3" xfId="11572"/>
    <cellStyle name="40% - Accent3 4 2 3 2 3 2" xfId="19388"/>
    <cellStyle name="40% - Accent3 4 2 3 2 4" xfId="15501"/>
    <cellStyle name="40% - Accent3 4 2 3 3" xfId="2574"/>
    <cellStyle name="40% - Accent3 4 2 3 3 2" xfId="11574"/>
    <cellStyle name="40% - Accent3 4 2 3 3 2 2" xfId="19390"/>
    <cellStyle name="40% - Accent3 4 2 3 3 3" xfId="15503"/>
    <cellStyle name="40% - Accent3 4 2 3 4" xfId="11571"/>
    <cellStyle name="40% - Accent3 4 2 3 4 2" xfId="19387"/>
    <cellStyle name="40% - Accent3 4 2 3 5" xfId="15500"/>
    <cellStyle name="40% - Accent3 4 2 4" xfId="2575"/>
    <cellStyle name="40% - Accent3 4 2 4 2" xfId="2576"/>
    <cellStyle name="40% - Accent3 4 2 4 2 2" xfId="11576"/>
    <cellStyle name="40% - Accent3 4 2 4 2 2 2" xfId="19392"/>
    <cellStyle name="40% - Accent3 4 2 4 2 3" xfId="15505"/>
    <cellStyle name="40% - Accent3 4 2 4 3" xfId="11575"/>
    <cellStyle name="40% - Accent3 4 2 4 3 2" xfId="19391"/>
    <cellStyle name="40% - Accent3 4 2 4 4" xfId="15504"/>
    <cellStyle name="40% - Accent3 4 2 5" xfId="2577"/>
    <cellStyle name="40% - Accent3 4 2 5 2" xfId="11577"/>
    <cellStyle name="40% - Accent3 4 2 5 2 2" xfId="19393"/>
    <cellStyle name="40% - Accent3 4 2 5 3" xfId="15506"/>
    <cellStyle name="40% - Accent3 4 2 6" xfId="11564"/>
    <cellStyle name="40% - Accent3 4 2 6 2" xfId="19380"/>
    <cellStyle name="40% - Accent3 4 2 7" xfId="15493"/>
    <cellStyle name="40% - Accent3 4 3" xfId="2578"/>
    <cellStyle name="40% - Accent3 4 3 2" xfId="2579"/>
    <cellStyle name="40% - Accent3 4 3 2 2" xfId="2580"/>
    <cellStyle name="40% - Accent3 4 3 2 2 2" xfId="2581"/>
    <cellStyle name="40% - Accent3 4 3 2 2 2 2" xfId="11581"/>
    <cellStyle name="40% - Accent3 4 3 2 2 2 2 2" xfId="19397"/>
    <cellStyle name="40% - Accent3 4 3 2 2 2 3" xfId="15510"/>
    <cellStyle name="40% - Accent3 4 3 2 2 3" xfId="11580"/>
    <cellStyle name="40% - Accent3 4 3 2 2 3 2" xfId="19396"/>
    <cellStyle name="40% - Accent3 4 3 2 2 4" xfId="15509"/>
    <cellStyle name="40% - Accent3 4 3 2 3" xfId="2582"/>
    <cellStyle name="40% - Accent3 4 3 2 3 2" xfId="11582"/>
    <cellStyle name="40% - Accent3 4 3 2 3 2 2" xfId="19398"/>
    <cellStyle name="40% - Accent3 4 3 2 3 3" xfId="15511"/>
    <cellStyle name="40% - Accent3 4 3 2 4" xfId="11579"/>
    <cellStyle name="40% - Accent3 4 3 2 4 2" xfId="19395"/>
    <cellStyle name="40% - Accent3 4 3 2 5" xfId="15508"/>
    <cellStyle name="40% - Accent3 4 3 3" xfId="2583"/>
    <cellStyle name="40% - Accent3 4 3 3 2" xfId="2584"/>
    <cellStyle name="40% - Accent3 4 3 3 2 2" xfId="11584"/>
    <cellStyle name="40% - Accent3 4 3 3 2 2 2" xfId="19400"/>
    <cellStyle name="40% - Accent3 4 3 3 2 3" xfId="15513"/>
    <cellStyle name="40% - Accent3 4 3 3 3" xfId="11583"/>
    <cellStyle name="40% - Accent3 4 3 3 3 2" xfId="19399"/>
    <cellStyle name="40% - Accent3 4 3 3 4" xfId="15512"/>
    <cellStyle name="40% - Accent3 4 3 4" xfId="2585"/>
    <cellStyle name="40% - Accent3 4 3 4 2" xfId="2586"/>
    <cellStyle name="40% - Accent3 4 3 4 2 2" xfId="11586"/>
    <cellStyle name="40% - Accent3 4 3 4 2 2 2" xfId="19402"/>
    <cellStyle name="40% - Accent3 4 3 4 2 3" xfId="15515"/>
    <cellStyle name="40% - Accent3 4 3 4 3" xfId="11585"/>
    <cellStyle name="40% - Accent3 4 3 4 3 2" xfId="19401"/>
    <cellStyle name="40% - Accent3 4 3 4 4" xfId="15514"/>
    <cellStyle name="40% - Accent3 4 3 5" xfId="2587"/>
    <cellStyle name="40% - Accent3 4 3 5 2" xfId="11587"/>
    <cellStyle name="40% - Accent3 4 3 5 2 2" xfId="19403"/>
    <cellStyle name="40% - Accent3 4 3 5 3" xfId="15516"/>
    <cellStyle name="40% - Accent3 4 3 6" xfId="11578"/>
    <cellStyle name="40% - Accent3 4 3 6 2" xfId="19394"/>
    <cellStyle name="40% - Accent3 4 3 7" xfId="15507"/>
    <cellStyle name="40% - Accent3 4 4" xfId="2588"/>
    <cellStyle name="40% - Accent3 4 4 2" xfId="2589"/>
    <cellStyle name="40% - Accent3 4 4 2 2" xfId="2590"/>
    <cellStyle name="40% - Accent3 4 4 2 2 2" xfId="11590"/>
    <cellStyle name="40% - Accent3 4 4 2 2 2 2" xfId="19406"/>
    <cellStyle name="40% - Accent3 4 4 2 2 3" xfId="15519"/>
    <cellStyle name="40% - Accent3 4 4 2 3" xfId="11589"/>
    <cellStyle name="40% - Accent3 4 4 2 3 2" xfId="19405"/>
    <cellStyle name="40% - Accent3 4 4 2 4" xfId="15518"/>
    <cellStyle name="40% - Accent3 4 4 3" xfId="2591"/>
    <cellStyle name="40% - Accent3 4 4 3 2" xfId="11591"/>
    <cellStyle name="40% - Accent3 4 4 3 2 2" xfId="19407"/>
    <cellStyle name="40% - Accent3 4 4 3 3" xfId="15520"/>
    <cellStyle name="40% - Accent3 4 4 4" xfId="11588"/>
    <cellStyle name="40% - Accent3 4 4 4 2" xfId="19404"/>
    <cellStyle name="40% - Accent3 4 4 5" xfId="15517"/>
    <cellStyle name="40% - Accent3 4 5" xfId="2592"/>
    <cellStyle name="40% - Accent3 4 5 2" xfId="2593"/>
    <cellStyle name="40% - Accent3 4 5 2 2" xfId="11593"/>
    <cellStyle name="40% - Accent3 4 5 2 2 2" xfId="19409"/>
    <cellStyle name="40% - Accent3 4 5 2 3" xfId="15522"/>
    <cellStyle name="40% - Accent3 4 5 3" xfId="11592"/>
    <cellStyle name="40% - Accent3 4 5 3 2" xfId="19408"/>
    <cellStyle name="40% - Accent3 4 5 4" xfId="15521"/>
    <cellStyle name="40% - Accent3 4 6" xfId="2594"/>
    <cellStyle name="40% - Accent3 4 6 2" xfId="11594"/>
    <cellStyle name="40% - Accent3 4 6 2 2" xfId="19410"/>
    <cellStyle name="40% - Accent3 4 6 3" xfId="15523"/>
    <cellStyle name="40% - Accent3 4 7" xfId="11563"/>
    <cellStyle name="40% - Accent3 4 7 2" xfId="19379"/>
    <cellStyle name="40% - Accent3 4 8" xfId="15492"/>
    <cellStyle name="40% - Accent3 5" xfId="2595"/>
    <cellStyle name="40% - Accent3 5 2" xfId="2596"/>
    <cellStyle name="40% - Accent3 5 2 2" xfId="2597"/>
    <cellStyle name="40% - Accent3 5 2 2 2" xfId="2598"/>
    <cellStyle name="40% - Accent3 5 2 2 2 2" xfId="11598"/>
    <cellStyle name="40% - Accent3 5 2 2 2 2 2" xfId="19414"/>
    <cellStyle name="40% - Accent3 5 2 2 2 3" xfId="15527"/>
    <cellStyle name="40% - Accent3 5 2 2 3" xfId="11597"/>
    <cellStyle name="40% - Accent3 5 2 2 3 2" xfId="19413"/>
    <cellStyle name="40% - Accent3 5 2 2 4" xfId="15526"/>
    <cellStyle name="40% - Accent3 5 2 3" xfId="2599"/>
    <cellStyle name="40% - Accent3 5 2 3 2" xfId="2600"/>
    <cellStyle name="40% - Accent3 5 2 3 2 2" xfId="11600"/>
    <cellStyle name="40% - Accent3 5 2 3 2 2 2" xfId="19416"/>
    <cellStyle name="40% - Accent3 5 2 3 2 3" xfId="15529"/>
    <cellStyle name="40% - Accent3 5 2 3 3" xfId="11599"/>
    <cellStyle name="40% - Accent3 5 2 3 3 2" xfId="19415"/>
    <cellStyle name="40% - Accent3 5 2 3 4" xfId="15528"/>
    <cellStyle name="40% - Accent3 5 2 4" xfId="2601"/>
    <cellStyle name="40% - Accent3 5 2 4 2" xfId="11601"/>
    <cellStyle name="40% - Accent3 5 2 4 2 2" xfId="19417"/>
    <cellStyle name="40% - Accent3 5 2 4 3" xfId="15530"/>
    <cellStyle name="40% - Accent3 5 2 5" xfId="11596"/>
    <cellStyle name="40% - Accent3 5 2 5 2" xfId="19412"/>
    <cellStyle name="40% - Accent3 5 2 6" xfId="15525"/>
    <cellStyle name="40% - Accent3 5 3" xfId="2602"/>
    <cellStyle name="40% - Accent3 5 3 2" xfId="2603"/>
    <cellStyle name="40% - Accent3 5 3 2 2" xfId="2604"/>
    <cellStyle name="40% - Accent3 5 3 2 2 2" xfId="11604"/>
    <cellStyle name="40% - Accent3 5 3 2 2 2 2" xfId="19420"/>
    <cellStyle name="40% - Accent3 5 3 2 2 3" xfId="15533"/>
    <cellStyle name="40% - Accent3 5 3 2 3" xfId="11603"/>
    <cellStyle name="40% - Accent3 5 3 2 3 2" xfId="19419"/>
    <cellStyle name="40% - Accent3 5 3 2 4" xfId="15532"/>
    <cellStyle name="40% - Accent3 5 3 3" xfId="2605"/>
    <cellStyle name="40% - Accent3 5 3 3 2" xfId="11605"/>
    <cellStyle name="40% - Accent3 5 3 3 2 2" xfId="19421"/>
    <cellStyle name="40% - Accent3 5 3 3 3" xfId="15534"/>
    <cellStyle name="40% - Accent3 5 3 4" xfId="11602"/>
    <cellStyle name="40% - Accent3 5 3 4 2" xfId="19418"/>
    <cellStyle name="40% - Accent3 5 3 5" xfId="15531"/>
    <cellStyle name="40% - Accent3 5 4" xfId="2606"/>
    <cellStyle name="40% - Accent3 5 4 2" xfId="2607"/>
    <cellStyle name="40% - Accent3 5 4 2 2" xfId="11607"/>
    <cellStyle name="40% - Accent3 5 4 2 2 2" xfId="19423"/>
    <cellStyle name="40% - Accent3 5 4 2 3" xfId="15536"/>
    <cellStyle name="40% - Accent3 5 4 3" xfId="11606"/>
    <cellStyle name="40% - Accent3 5 4 3 2" xfId="19422"/>
    <cellStyle name="40% - Accent3 5 4 4" xfId="15535"/>
    <cellStyle name="40% - Accent3 5 5" xfId="2608"/>
    <cellStyle name="40% - Accent3 5 5 2" xfId="11608"/>
    <cellStyle name="40% - Accent3 5 5 2 2" xfId="19424"/>
    <cellStyle name="40% - Accent3 5 5 3" xfId="15537"/>
    <cellStyle name="40% - Accent3 5 6" xfId="11595"/>
    <cellStyle name="40% - Accent3 5 6 2" xfId="19411"/>
    <cellStyle name="40% - Accent3 5 7" xfId="15524"/>
    <cellStyle name="40% - Accent3 6" xfId="2609"/>
    <cellStyle name="40% - Accent3 6 2" xfId="2610"/>
    <cellStyle name="40% - Accent3 6 2 2" xfId="2611"/>
    <cellStyle name="40% - Accent3 6 2 2 2" xfId="2612"/>
    <cellStyle name="40% - Accent3 6 2 2 2 2" xfId="11612"/>
    <cellStyle name="40% - Accent3 6 2 2 2 2 2" xfId="19428"/>
    <cellStyle name="40% - Accent3 6 2 2 2 3" xfId="15541"/>
    <cellStyle name="40% - Accent3 6 2 2 3" xfId="11611"/>
    <cellStyle name="40% - Accent3 6 2 2 3 2" xfId="19427"/>
    <cellStyle name="40% - Accent3 6 2 2 4" xfId="15540"/>
    <cellStyle name="40% - Accent3 6 2 3" xfId="2613"/>
    <cellStyle name="40% - Accent3 6 2 3 2" xfId="11613"/>
    <cellStyle name="40% - Accent3 6 2 3 2 2" xfId="19429"/>
    <cellStyle name="40% - Accent3 6 2 3 3" xfId="15542"/>
    <cellStyle name="40% - Accent3 6 2 4" xfId="11610"/>
    <cellStyle name="40% - Accent3 6 2 4 2" xfId="19426"/>
    <cellStyle name="40% - Accent3 6 2 5" xfId="15539"/>
    <cellStyle name="40% - Accent3 6 3" xfId="2614"/>
    <cellStyle name="40% - Accent3 6 3 2" xfId="2615"/>
    <cellStyle name="40% - Accent3 6 3 2 2" xfId="11615"/>
    <cellStyle name="40% - Accent3 6 3 2 2 2" xfId="19431"/>
    <cellStyle name="40% - Accent3 6 3 2 3" xfId="15544"/>
    <cellStyle name="40% - Accent3 6 3 3" xfId="11614"/>
    <cellStyle name="40% - Accent3 6 3 3 2" xfId="19430"/>
    <cellStyle name="40% - Accent3 6 3 4" xfId="15543"/>
    <cellStyle name="40% - Accent3 6 4" xfId="2616"/>
    <cellStyle name="40% - Accent3 6 4 2" xfId="11616"/>
    <cellStyle name="40% - Accent3 6 4 2 2" xfId="19432"/>
    <cellStyle name="40% - Accent3 6 4 3" xfId="15545"/>
    <cellStyle name="40% - Accent3 6 5" xfId="11609"/>
    <cellStyle name="40% - Accent3 6 5 2" xfId="19425"/>
    <cellStyle name="40% - Accent3 6 6" xfId="15538"/>
    <cellStyle name="40% - Accent3 7" xfId="2617"/>
    <cellStyle name="40% - Accent3 7 2" xfId="2618"/>
    <cellStyle name="40% - Accent3 7 2 2" xfId="2619"/>
    <cellStyle name="40% - Accent3 7 2 2 2" xfId="2620"/>
    <cellStyle name="40% - Accent3 7 2 2 2 2" xfId="11620"/>
    <cellStyle name="40% - Accent3 7 2 2 2 2 2" xfId="19436"/>
    <cellStyle name="40% - Accent3 7 2 2 2 3" xfId="15549"/>
    <cellStyle name="40% - Accent3 7 2 2 3" xfId="11619"/>
    <cellStyle name="40% - Accent3 7 2 2 3 2" xfId="19435"/>
    <cellStyle name="40% - Accent3 7 2 2 4" xfId="15548"/>
    <cellStyle name="40% - Accent3 7 2 3" xfId="2621"/>
    <cellStyle name="40% - Accent3 7 2 3 2" xfId="11621"/>
    <cellStyle name="40% - Accent3 7 2 3 2 2" xfId="19437"/>
    <cellStyle name="40% - Accent3 7 2 3 3" xfId="15550"/>
    <cellStyle name="40% - Accent3 7 2 4" xfId="11618"/>
    <cellStyle name="40% - Accent3 7 2 4 2" xfId="19434"/>
    <cellStyle name="40% - Accent3 7 2 5" xfId="15547"/>
    <cellStyle name="40% - Accent3 7 3" xfId="2622"/>
    <cellStyle name="40% - Accent3 7 3 2" xfId="2623"/>
    <cellStyle name="40% - Accent3 7 3 2 2" xfId="11623"/>
    <cellStyle name="40% - Accent3 7 3 2 2 2" xfId="19439"/>
    <cellStyle name="40% - Accent3 7 3 2 3" xfId="15552"/>
    <cellStyle name="40% - Accent3 7 3 3" xfId="11622"/>
    <cellStyle name="40% - Accent3 7 3 3 2" xfId="19438"/>
    <cellStyle name="40% - Accent3 7 3 4" xfId="15551"/>
    <cellStyle name="40% - Accent3 7 4" xfId="2624"/>
    <cellStyle name="40% - Accent3 7 4 2" xfId="11624"/>
    <cellStyle name="40% - Accent3 7 4 2 2" xfId="19440"/>
    <cellStyle name="40% - Accent3 7 4 3" xfId="15553"/>
    <cellStyle name="40% - Accent3 7 5" xfId="11617"/>
    <cellStyle name="40% - Accent3 7 5 2" xfId="19433"/>
    <cellStyle name="40% - Accent3 7 6" xfId="15546"/>
    <cellStyle name="40% - Accent3 8" xfId="2625"/>
    <cellStyle name="40% - Accent3 8 2" xfId="2626"/>
    <cellStyle name="40% - Accent3 8 2 2" xfId="2627"/>
    <cellStyle name="40% - Accent3 8 2 2 2" xfId="11627"/>
    <cellStyle name="40% - Accent3 8 2 2 2 2" xfId="19443"/>
    <cellStyle name="40% - Accent3 8 2 2 3" xfId="15556"/>
    <cellStyle name="40% - Accent3 8 2 3" xfId="11626"/>
    <cellStyle name="40% - Accent3 8 2 3 2" xfId="19442"/>
    <cellStyle name="40% - Accent3 8 2 4" xfId="15555"/>
    <cellStyle name="40% - Accent3 8 3" xfId="2628"/>
    <cellStyle name="40% - Accent3 8 3 2" xfId="11628"/>
    <cellStyle name="40% - Accent3 8 3 2 2" xfId="19444"/>
    <cellStyle name="40% - Accent3 8 3 3" xfId="15557"/>
    <cellStyle name="40% - Accent3 8 4" xfId="11625"/>
    <cellStyle name="40% - Accent3 8 4 2" xfId="19441"/>
    <cellStyle name="40% - Accent3 8 5" xfId="15554"/>
    <cellStyle name="40% - Accent3 9" xfId="2629"/>
    <cellStyle name="40% - Accent3 9 2" xfId="2630"/>
    <cellStyle name="40% - Accent3 9 2 2" xfId="11630"/>
    <cellStyle name="40% - Accent3 9 2 2 2" xfId="19446"/>
    <cellStyle name="40% - Accent3 9 2 3" xfId="15559"/>
    <cellStyle name="40% - Accent3 9 3" xfId="11629"/>
    <cellStyle name="40% - Accent3 9 3 2" xfId="19445"/>
    <cellStyle name="40% - Accent3 9 4" xfId="15558"/>
    <cellStyle name="40% - Accent4 10" xfId="2631"/>
    <cellStyle name="40% - Accent4 10 2" xfId="2632"/>
    <cellStyle name="40% - Accent4 10 2 2" xfId="11632"/>
    <cellStyle name="40% - Accent4 10 2 2 2" xfId="19448"/>
    <cellStyle name="40% - Accent4 10 2 3" xfId="15561"/>
    <cellStyle name="40% - Accent4 10 3" xfId="11631"/>
    <cellStyle name="40% - Accent4 10 3 2" xfId="19447"/>
    <cellStyle name="40% - Accent4 10 4" xfId="15560"/>
    <cellStyle name="40% - Accent4 11" xfId="2633"/>
    <cellStyle name="40% - Accent4 11 2" xfId="11633"/>
    <cellStyle name="40% - Accent4 11 2 2" xfId="19449"/>
    <cellStyle name="40% - Accent4 11 3" xfId="15562"/>
    <cellStyle name="40% - Accent4 12" xfId="2634"/>
    <cellStyle name="40% - Accent4 12 2" xfId="11634"/>
    <cellStyle name="40% - Accent4 12 2 2" xfId="19450"/>
    <cellStyle name="40% - Accent4 12 3" xfId="15563"/>
    <cellStyle name="40% - Accent4 2" xfId="2635"/>
    <cellStyle name="40% - Accent4 2 10" xfId="2636"/>
    <cellStyle name="40% - Accent4 2 10 2" xfId="11636"/>
    <cellStyle name="40% - Accent4 2 10 2 2" xfId="19452"/>
    <cellStyle name="40% - Accent4 2 10 3" xfId="15565"/>
    <cellStyle name="40% - Accent4 2 11" xfId="11635"/>
    <cellStyle name="40% - Accent4 2 11 2" xfId="19451"/>
    <cellStyle name="40% - Accent4 2 12" xfId="12948"/>
    <cellStyle name="40% - Accent4 2 13" xfId="15564"/>
    <cellStyle name="40% - Accent4 2 2" xfId="2637"/>
    <cellStyle name="40% - Accent4 2 2 10" xfId="15566"/>
    <cellStyle name="40% - Accent4 2 2 2" xfId="2638"/>
    <cellStyle name="40% - Accent4 2 2 2 2" xfId="2639"/>
    <cellStyle name="40% - Accent4 2 2 2 2 2" xfId="2640"/>
    <cellStyle name="40% - Accent4 2 2 2 2 2 2" xfId="2641"/>
    <cellStyle name="40% - Accent4 2 2 2 2 2 2 2" xfId="2642"/>
    <cellStyle name="40% - Accent4 2 2 2 2 2 2 2 2" xfId="11642"/>
    <cellStyle name="40% - Accent4 2 2 2 2 2 2 2 2 2" xfId="19458"/>
    <cellStyle name="40% - Accent4 2 2 2 2 2 2 2 3" xfId="15571"/>
    <cellStyle name="40% - Accent4 2 2 2 2 2 2 3" xfId="11641"/>
    <cellStyle name="40% - Accent4 2 2 2 2 2 2 3 2" xfId="19457"/>
    <cellStyle name="40% - Accent4 2 2 2 2 2 2 4" xfId="15570"/>
    <cellStyle name="40% - Accent4 2 2 2 2 2 3" xfId="2643"/>
    <cellStyle name="40% - Accent4 2 2 2 2 2 3 2" xfId="2644"/>
    <cellStyle name="40% - Accent4 2 2 2 2 2 3 2 2" xfId="11644"/>
    <cellStyle name="40% - Accent4 2 2 2 2 2 3 2 2 2" xfId="19460"/>
    <cellStyle name="40% - Accent4 2 2 2 2 2 3 2 3" xfId="15573"/>
    <cellStyle name="40% - Accent4 2 2 2 2 2 3 3" xfId="11643"/>
    <cellStyle name="40% - Accent4 2 2 2 2 2 3 3 2" xfId="19459"/>
    <cellStyle name="40% - Accent4 2 2 2 2 2 3 4" xfId="15572"/>
    <cellStyle name="40% - Accent4 2 2 2 2 2 4" xfId="2645"/>
    <cellStyle name="40% - Accent4 2 2 2 2 2 4 2" xfId="11645"/>
    <cellStyle name="40% - Accent4 2 2 2 2 2 4 2 2" xfId="19461"/>
    <cellStyle name="40% - Accent4 2 2 2 2 2 4 3" xfId="15574"/>
    <cellStyle name="40% - Accent4 2 2 2 2 2 5" xfId="11640"/>
    <cellStyle name="40% - Accent4 2 2 2 2 2 5 2" xfId="19456"/>
    <cellStyle name="40% - Accent4 2 2 2 2 2 6" xfId="15569"/>
    <cellStyle name="40% - Accent4 2 2 2 2 3" xfId="2646"/>
    <cellStyle name="40% - Accent4 2 2 2 2 3 2" xfId="2647"/>
    <cellStyle name="40% - Accent4 2 2 2 2 3 2 2" xfId="2648"/>
    <cellStyle name="40% - Accent4 2 2 2 2 3 2 2 2" xfId="11648"/>
    <cellStyle name="40% - Accent4 2 2 2 2 3 2 2 2 2" xfId="19464"/>
    <cellStyle name="40% - Accent4 2 2 2 2 3 2 2 3" xfId="15577"/>
    <cellStyle name="40% - Accent4 2 2 2 2 3 2 3" xfId="11647"/>
    <cellStyle name="40% - Accent4 2 2 2 2 3 2 3 2" xfId="19463"/>
    <cellStyle name="40% - Accent4 2 2 2 2 3 2 4" xfId="15576"/>
    <cellStyle name="40% - Accent4 2 2 2 2 3 3" xfId="2649"/>
    <cellStyle name="40% - Accent4 2 2 2 2 3 3 2" xfId="11649"/>
    <cellStyle name="40% - Accent4 2 2 2 2 3 3 2 2" xfId="19465"/>
    <cellStyle name="40% - Accent4 2 2 2 2 3 3 3" xfId="15578"/>
    <cellStyle name="40% - Accent4 2 2 2 2 3 4" xfId="11646"/>
    <cellStyle name="40% - Accent4 2 2 2 2 3 4 2" xfId="19462"/>
    <cellStyle name="40% - Accent4 2 2 2 2 3 5" xfId="15575"/>
    <cellStyle name="40% - Accent4 2 2 2 2 4" xfId="2650"/>
    <cellStyle name="40% - Accent4 2 2 2 2 4 2" xfId="2651"/>
    <cellStyle name="40% - Accent4 2 2 2 2 4 2 2" xfId="11651"/>
    <cellStyle name="40% - Accent4 2 2 2 2 4 2 2 2" xfId="19467"/>
    <cellStyle name="40% - Accent4 2 2 2 2 4 2 3" xfId="15580"/>
    <cellStyle name="40% - Accent4 2 2 2 2 4 3" xfId="11650"/>
    <cellStyle name="40% - Accent4 2 2 2 2 4 3 2" xfId="19466"/>
    <cellStyle name="40% - Accent4 2 2 2 2 4 4" xfId="15579"/>
    <cellStyle name="40% - Accent4 2 2 2 2 5" xfId="2652"/>
    <cellStyle name="40% - Accent4 2 2 2 2 5 2" xfId="11652"/>
    <cellStyle name="40% - Accent4 2 2 2 2 5 2 2" xfId="19468"/>
    <cellStyle name="40% - Accent4 2 2 2 2 5 3" xfId="15581"/>
    <cellStyle name="40% - Accent4 2 2 2 2 6" xfId="11639"/>
    <cellStyle name="40% - Accent4 2 2 2 2 6 2" xfId="19455"/>
    <cellStyle name="40% - Accent4 2 2 2 2 7" xfId="15568"/>
    <cellStyle name="40% - Accent4 2 2 2 3" xfId="2653"/>
    <cellStyle name="40% - Accent4 2 2 2 3 2" xfId="2654"/>
    <cellStyle name="40% - Accent4 2 2 2 3 2 2" xfId="2655"/>
    <cellStyle name="40% - Accent4 2 2 2 3 2 2 2" xfId="2656"/>
    <cellStyle name="40% - Accent4 2 2 2 3 2 2 2 2" xfId="11656"/>
    <cellStyle name="40% - Accent4 2 2 2 3 2 2 2 2 2" xfId="19472"/>
    <cellStyle name="40% - Accent4 2 2 2 3 2 2 2 3" xfId="15585"/>
    <cellStyle name="40% - Accent4 2 2 2 3 2 2 3" xfId="11655"/>
    <cellStyle name="40% - Accent4 2 2 2 3 2 2 3 2" xfId="19471"/>
    <cellStyle name="40% - Accent4 2 2 2 3 2 2 4" xfId="15584"/>
    <cellStyle name="40% - Accent4 2 2 2 3 2 3" xfId="2657"/>
    <cellStyle name="40% - Accent4 2 2 2 3 2 3 2" xfId="11657"/>
    <cellStyle name="40% - Accent4 2 2 2 3 2 3 2 2" xfId="19473"/>
    <cellStyle name="40% - Accent4 2 2 2 3 2 3 3" xfId="15586"/>
    <cellStyle name="40% - Accent4 2 2 2 3 2 4" xfId="11654"/>
    <cellStyle name="40% - Accent4 2 2 2 3 2 4 2" xfId="19470"/>
    <cellStyle name="40% - Accent4 2 2 2 3 2 5" xfId="15583"/>
    <cellStyle name="40% - Accent4 2 2 2 3 3" xfId="2658"/>
    <cellStyle name="40% - Accent4 2 2 2 3 3 2" xfId="2659"/>
    <cellStyle name="40% - Accent4 2 2 2 3 3 2 2" xfId="11659"/>
    <cellStyle name="40% - Accent4 2 2 2 3 3 2 2 2" xfId="19475"/>
    <cellStyle name="40% - Accent4 2 2 2 3 3 2 3" xfId="15588"/>
    <cellStyle name="40% - Accent4 2 2 2 3 3 3" xfId="11658"/>
    <cellStyle name="40% - Accent4 2 2 2 3 3 3 2" xfId="19474"/>
    <cellStyle name="40% - Accent4 2 2 2 3 3 4" xfId="15587"/>
    <cellStyle name="40% - Accent4 2 2 2 3 4" xfId="2660"/>
    <cellStyle name="40% - Accent4 2 2 2 3 4 2" xfId="2661"/>
    <cellStyle name="40% - Accent4 2 2 2 3 4 2 2" xfId="11661"/>
    <cellStyle name="40% - Accent4 2 2 2 3 4 2 2 2" xfId="19477"/>
    <cellStyle name="40% - Accent4 2 2 2 3 4 2 3" xfId="15590"/>
    <cellStyle name="40% - Accent4 2 2 2 3 4 3" xfId="11660"/>
    <cellStyle name="40% - Accent4 2 2 2 3 4 3 2" xfId="19476"/>
    <cellStyle name="40% - Accent4 2 2 2 3 4 4" xfId="15589"/>
    <cellStyle name="40% - Accent4 2 2 2 3 5" xfId="2662"/>
    <cellStyle name="40% - Accent4 2 2 2 3 5 2" xfId="11662"/>
    <cellStyle name="40% - Accent4 2 2 2 3 5 2 2" xfId="19478"/>
    <cellStyle name="40% - Accent4 2 2 2 3 5 3" xfId="15591"/>
    <cellStyle name="40% - Accent4 2 2 2 3 6" xfId="11653"/>
    <cellStyle name="40% - Accent4 2 2 2 3 6 2" xfId="19469"/>
    <cellStyle name="40% - Accent4 2 2 2 3 7" xfId="15582"/>
    <cellStyle name="40% - Accent4 2 2 2 4" xfId="2663"/>
    <cellStyle name="40% - Accent4 2 2 2 4 2" xfId="2664"/>
    <cellStyle name="40% - Accent4 2 2 2 4 2 2" xfId="2665"/>
    <cellStyle name="40% - Accent4 2 2 2 4 2 2 2" xfId="11665"/>
    <cellStyle name="40% - Accent4 2 2 2 4 2 2 2 2" xfId="19481"/>
    <cellStyle name="40% - Accent4 2 2 2 4 2 2 3" xfId="15594"/>
    <cellStyle name="40% - Accent4 2 2 2 4 2 3" xfId="11664"/>
    <cellStyle name="40% - Accent4 2 2 2 4 2 3 2" xfId="19480"/>
    <cellStyle name="40% - Accent4 2 2 2 4 2 4" xfId="15593"/>
    <cellStyle name="40% - Accent4 2 2 2 4 3" xfId="2666"/>
    <cellStyle name="40% - Accent4 2 2 2 4 3 2" xfId="11666"/>
    <cellStyle name="40% - Accent4 2 2 2 4 3 2 2" xfId="19482"/>
    <cellStyle name="40% - Accent4 2 2 2 4 3 3" xfId="15595"/>
    <cellStyle name="40% - Accent4 2 2 2 4 4" xfId="11663"/>
    <cellStyle name="40% - Accent4 2 2 2 4 4 2" xfId="19479"/>
    <cellStyle name="40% - Accent4 2 2 2 4 5" xfId="15592"/>
    <cellStyle name="40% - Accent4 2 2 2 5" xfId="2667"/>
    <cellStyle name="40% - Accent4 2 2 2 5 2" xfId="2668"/>
    <cellStyle name="40% - Accent4 2 2 2 5 2 2" xfId="11668"/>
    <cellStyle name="40% - Accent4 2 2 2 5 2 2 2" xfId="19484"/>
    <cellStyle name="40% - Accent4 2 2 2 5 2 3" xfId="15597"/>
    <cellStyle name="40% - Accent4 2 2 2 5 3" xfId="11667"/>
    <cellStyle name="40% - Accent4 2 2 2 5 3 2" xfId="19483"/>
    <cellStyle name="40% - Accent4 2 2 2 5 4" xfId="15596"/>
    <cellStyle name="40% - Accent4 2 2 2 6" xfId="2669"/>
    <cellStyle name="40% - Accent4 2 2 2 6 2" xfId="11669"/>
    <cellStyle name="40% - Accent4 2 2 2 6 2 2" xfId="19485"/>
    <cellStyle name="40% - Accent4 2 2 2 6 3" xfId="15598"/>
    <cellStyle name="40% - Accent4 2 2 2 7" xfId="11638"/>
    <cellStyle name="40% - Accent4 2 2 2 7 2" xfId="19454"/>
    <cellStyle name="40% - Accent4 2 2 2 8" xfId="15567"/>
    <cellStyle name="40% - Accent4 2 2 3" xfId="2670"/>
    <cellStyle name="40% - Accent4 2 2 3 2" xfId="2671"/>
    <cellStyle name="40% - Accent4 2 2 3 2 2" xfId="2672"/>
    <cellStyle name="40% - Accent4 2 2 3 2 2 2" xfId="2673"/>
    <cellStyle name="40% - Accent4 2 2 3 2 2 2 2" xfId="11673"/>
    <cellStyle name="40% - Accent4 2 2 3 2 2 2 2 2" xfId="19489"/>
    <cellStyle name="40% - Accent4 2 2 3 2 2 2 3" xfId="15602"/>
    <cellStyle name="40% - Accent4 2 2 3 2 2 3" xfId="11672"/>
    <cellStyle name="40% - Accent4 2 2 3 2 2 3 2" xfId="19488"/>
    <cellStyle name="40% - Accent4 2 2 3 2 2 4" xfId="15601"/>
    <cellStyle name="40% - Accent4 2 2 3 2 3" xfId="2674"/>
    <cellStyle name="40% - Accent4 2 2 3 2 3 2" xfId="2675"/>
    <cellStyle name="40% - Accent4 2 2 3 2 3 2 2" xfId="11675"/>
    <cellStyle name="40% - Accent4 2 2 3 2 3 2 2 2" xfId="19491"/>
    <cellStyle name="40% - Accent4 2 2 3 2 3 2 3" xfId="15604"/>
    <cellStyle name="40% - Accent4 2 2 3 2 3 3" xfId="11674"/>
    <cellStyle name="40% - Accent4 2 2 3 2 3 3 2" xfId="19490"/>
    <cellStyle name="40% - Accent4 2 2 3 2 3 4" xfId="15603"/>
    <cellStyle name="40% - Accent4 2 2 3 2 4" xfId="2676"/>
    <cellStyle name="40% - Accent4 2 2 3 2 4 2" xfId="11676"/>
    <cellStyle name="40% - Accent4 2 2 3 2 4 2 2" xfId="19492"/>
    <cellStyle name="40% - Accent4 2 2 3 2 4 3" xfId="15605"/>
    <cellStyle name="40% - Accent4 2 2 3 2 5" xfId="11671"/>
    <cellStyle name="40% - Accent4 2 2 3 2 5 2" xfId="19487"/>
    <cellStyle name="40% - Accent4 2 2 3 2 6" xfId="15600"/>
    <cellStyle name="40% - Accent4 2 2 3 3" xfId="2677"/>
    <cellStyle name="40% - Accent4 2 2 3 3 2" xfId="2678"/>
    <cellStyle name="40% - Accent4 2 2 3 3 2 2" xfId="2679"/>
    <cellStyle name="40% - Accent4 2 2 3 3 2 2 2" xfId="11679"/>
    <cellStyle name="40% - Accent4 2 2 3 3 2 2 2 2" xfId="19495"/>
    <cellStyle name="40% - Accent4 2 2 3 3 2 2 3" xfId="15608"/>
    <cellStyle name="40% - Accent4 2 2 3 3 2 3" xfId="11678"/>
    <cellStyle name="40% - Accent4 2 2 3 3 2 3 2" xfId="19494"/>
    <cellStyle name="40% - Accent4 2 2 3 3 2 4" xfId="15607"/>
    <cellStyle name="40% - Accent4 2 2 3 3 3" xfId="2680"/>
    <cellStyle name="40% - Accent4 2 2 3 3 3 2" xfId="11680"/>
    <cellStyle name="40% - Accent4 2 2 3 3 3 2 2" xfId="19496"/>
    <cellStyle name="40% - Accent4 2 2 3 3 3 3" xfId="15609"/>
    <cellStyle name="40% - Accent4 2 2 3 3 4" xfId="11677"/>
    <cellStyle name="40% - Accent4 2 2 3 3 4 2" xfId="19493"/>
    <cellStyle name="40% - Accent4 2 2 3 3 5" xfId="15606"/>
    <cellStyle name="40% - Accent4 2 2 3 4" xfId="2681"/>
    <cellStyle name="40% - Accent4 2 2 3 4 2" xfId="2682"/>
    <cellStyle name="40% - Accent4 2 2 3 4 2 2" xfId="11682"/>
    <cellStyle name="40% - Accent4 2 2 3 4 2 2 2" xfId="19498"/>
    <cellStyle name="40% - Accent4 2 2 3 4 2 3" xfId="15611"/>
    <cellStyle name="40% - Accent4 2 2 3 4 3" xfId="11681"/>
    <cellStyle name="40% - Accent4 2 2 3 4 3 2" xfId="19497"/>
    <cellStyle name="40% - Accent4 2 2 3 4 4" xfId="15610"/>
    <cellStyle name="40% - Accent4 2 2 3 5" xfId="2683"/>
    <cellStyle name="40% - Accent4 2 2 3 5 2" xfId="11683"/>
    <cellStyle name="40% - Accent4 2 2 3 5 2 2" xfId="19499"/>
    <cellStyle name="40% - Accent4 2 2 3 5 3" xfId="15612"/>
    <cellStyle name="40% - Accent4 2 2 3 6" xfId="11670"/>
    <cellStyle name="40% - Accent4 2 2 3 6 2" xfId="19486"/>
    <cellStyle name="40% - Accent4 2 2 3 7" xfId="15599"/>
    <cellStyle name="40% - Accent4 2 2 4" xfId="2684"/>
    <cellStyle name="40% - Accent4 2 2 4 2" xfId="2685"/>
    <cellStyle name="40% - Accent4 2 2 4 2 2" xfId="2686"/>
    <cellStyle name="40% - Accent4 2 2 4 2 2 2" xfId="2687"/>
    <cellStyle name="40% - Accent4 2 2 4 2 2 2 2" xfId="11687"/>
    <cellStyle name="40% - Accent4 2 2 4 2 2 2 2 2" xfId="19503"/>
    <cellStyle name="40% - Accent4 2 2 4 2 2 2 3" xfId="15616"/>
    <cellStyle name="40% - Accent4 2 2 4 2 2 3" xfId="11686"/>
    <cellStyle name="40% - Accent4 2 2 4 2 2 3 2" xfId="19502"/>
    <cellStyle name="40% - Accent4 2 2 4 2 2 4" xfId="15615"/>
    <cellStyle name="40% - Accent4 2 2 4 2 3" xfId="2688"/>
    <cellStyle name="40% - Accent4 2 2 4 2 3 2" xfId="11688"/>
    <cellStyle name="40% - Accent4 2 2 4 2 3 2 2" xfId="19504"/>
    <cellStyle name="40% - Accent4 2 2 4 2 3 3" xfId="15617"/>
    <cellStyle name="40% - Accent4 2 2 4 2 4" xfId="11685"/>
    <cellStyle name="40% - Accent4 2 2 4 2 4 2" xfId="19501"/>
    <cellStyle name="40% - Accent4 2 2 4 2 5" xfId="15614"/>
    <cellStyle name="40% - Accent4 2 2 4 3" xfId="2689"/>
    <cellStyle name="40% - Accent4 2 2 4 3 2" xfId="2690"/>
    <cellStyle name="40% - Accent4 2 2 4 3 2 2" xfId="11690"/>
    <cellStyle name="40% - Accent4 2 2 4 3 2 2 2" xfId="19506"/>
    <cellStyle name="40% - Accent4 2 2 4 3 2 3" xfId="15619"/>
    <cellStyle name="40% - Accent4 2 2 4 3 3" xfId="11689"/>
    <cellStyle name="40% - Accent4 2 2 4 3 3 2" xfId="19505"/>
    <cellStyle name="40% - Accent4 2 2 4 3 4" xfId="15618"/>
    <cellStyle name="40% - Accent4 2 2 4 4" xfId="2691"/>
    <cellStyle name="40% - Accent4 2 2 4 4 2" xfId="11691"/>
    <cellStyle name="40% - Accent4 2 2 4 4 2 2" xfId="19507"/>
    <cellStyle name="40% - Accent4 2 2 4 4 3" xfId="15620"/>
    <cellStyle name="40% - Accent4 2 2 4 5" xfId="11684"/>
    <cellStyle name="40% - Accent4 2 2 4 5 2" xfId="19500"/>
    <cellStyle name="40% - Accent4 2 2 4 6" xfId="15613"/>
    <cellStyle name="40% - Accent4 2 2 5" xfId="2692"/>
    <cellStyle name="40% - Accent4 2 2 5 2" xfId="2693"/>
    <cellStyle name="40% - Accent4 2 2 5 2 2" xfId="2694"/>
    <cellStyle name="40% - Accent4 2 2 5 2 2 2" xfId="2695"/>
    <cellStyle name="40% - Accent4 2 2 5 2 2 2 2" xfId="11695"/>
    <cellStyle name="40% - Accent4 2 2 5 2 2 2 2 2" xfId="19511"/>
    <cellStyle name="40% - Accent4 2 2 5 2 2 2 3" xfId="15624"/>
    <cellStyle name="40% - Accent4 2 2 5 2 2 3" xfId="11694"/>
    <cellStyle name="40% - Accent4 2 2 5 2 2 3 2" xfId="19510"/>
    <cellStyle name="40% - Accent4 2 2 5 2 2 4" xfId="15623"/>
    <cellStyle name="40% - Accent4 2 2 5 2 3" xfId="2696"/>
    <cellStyle name="40% - Accent4 2 2 5 2 3 2" xfId="11696"/>
    <cellStyle name="40% - Accent4 2 2 5 2 3 2 2" xfId="19512"/>
    <cellStyle name="40% - Accent4 2 2 5 2 3 3" xfId="15625"/>
    <cellStyle name="40% - Accent4 2 2 5 2 4" xfId="11693"/>
    <cellStyle name="40% - Accent4 2 2 5 2 4 2" xfId="19509"/>
    <cellStyle name="40% - Accent4 2 2 5 2 5" xfId="15622"/>
    <cellStyle name="40% - Accent4 2 2 5 3" xfId="2697"/>
    <cellStyle name="40% - Accent4 2 2 5 3 2" xfId="2698"/>
    <cellStyle name="40% - Accent4 2 2 5 3 2 2" xfId="11698"/>
    <cellStyle name="40% - Accent4 2 2 5 3 2 2 2" xfId="19514"/>
    <cellStyle name="40% - Accent4 2 2 5 3 2 3" xfId="15627"/>
    <cellStyle name="40% - Accent4 2 2 5 3 3" xfId="11697"/>
    <cellStyle name="40% - Accent4 2 2 5 3 3 2" xfId="19513"/>
    <cellStyle name="40% - Accent4 2 2 5 3 4" xfId="15626"/>
    <cellStyle name="40% - Accent4 2 2 5 4" xfId="2699"/>
    <cellStyle name="40% - Accent4 2 2 5 4 2" xfId="2700"/>
    <cellStyle name="40% - Accent4 2 2 5 4 2 2" xfId="11700"/>
    <cellStyle name="40% - Accent4 2 2 5 4 2 2 2" xfId="19516"/>
    <cellStyle name="40% - Accent4 2 2 5 4 2 3" xfId="15629"/>
    <cellStyle name="40% - Accent4 2 2 5 4 3" xfId="11699"/>
    <cellStyle name="40% - Accent4 2 2 5 4 3 2" xfId="19515"/>
    <cellStyle name="40% - Accent4 2 2 5 4 4" xfId="15628"/>
    <cellStyle name="40% - Accent4 2 2 5 5" xfId="2701"/>
    <cellStyle name="40% - Accent4 2 2 5 5 2" xfId="11701"/>
    <cellStyle name="40% - Accent4 2 2 5 5 2 2" xfId="19517"/>
    <cellStyle name="40% - Accent4 2 2 5 5 3" xfId="15630"/>
    <cellStyle name="40% - Accent4 2 2 5 6" xfId="11692"/>
    <cellStyle name="40% - Accent4 2 2 5 6 2" xfId="19508"/>
    <cellStyle name="40% - Accent4 2 2 5 7" xfId="15621"/>
    <cellStyle name="40% - Accent4 2 2 6" xfId="2702"/>
    <cellStyle name="40% - Accent4 2 2 6 2" xfId="2703"/>
    <cellStyle name="40% - Accent4 2 2 6 2 2" xfId="2704"/>
    <cellStyle name="40% - Accent4 2 2 6 2 2 2" xfId="11704"/>
    <cellStyle name="40% - Accent4 2 2 6 2 2 2 2" xfId="19520"/>
    <cellStyle name="40% - Accent4 2 2 6 2 2 3" xfId="15633"/>
    <cellStyle name="40% - Accent4 2 2 6 2 3" xfId="11703"/>
    <cellStyle name="40% - Accent4 2 2 6 2 3 2" xfId="19519"/>
    <cellStyle name="40% - Accent4 2 2 6 2 4" xfId="15632"/>
    <cellStyle name="40% - Accent4 2 2 6 3" xfId="2705"/>
    <cellStyle name="40% - Accent4 2 2 6 3 2" xfId="11705"/>
    <cellStyle name="40% - Accent4 2 2 6 3 2 2" xfId="19521"/>
    <cellStyle name="40% - Accent4 2 2 6 3 3" xfId="15634"/>
    <cellStyle name="40% - Accent4 2 2 6 4" xfId="11702"/>
    <cellStyle name="40% - Accent4 2 2 6 4 2" xfId="19518"/>
    <cellStyle name="40% - Accent4 2 2 6 5" xfId="15631"/>
    <cellStyle name="40% - Accent4 2 2 7" xfId="2706"/>
    <cellStyle name="40% - Accent4 2 2 7 2" xfId="2707"/>
    <cellStyle name="40% - Accent4 2 2 7 2 2" xfId="11707"/>
    <cellStyle name="40% - Accent4 2 2 7 2 2 2" xfId="19523"/>
    <cellStyle name="40% - Accent4 2 2 7 2 3" xfId="15636"/>
    <cellStyle name="40% - Accent4 2 2 7 3" xfId="11706"/>
    <cellStyle name="40% - Accent4 2 2 7 3 2" xfId="19522"/>
    <cellStyle name="40% - Accent4 2 2 7 4" xfId="15635"/>
    <cellStyle name="40% - Accent4 2 2 8" xfId="2708"/>
    <cellStyle name="40% - Accent4 2 2 8 2" xfId="11708"/>
    <cellStyle name="40% - Accent4 2 2 8 2 2" xfId="19524"/>
    <cellStyle name="40% - Accent4 2 2 8 3" xfId="15637"/>
    <cellStyle name="40% - Accent4 2 2 9" xfId="11637"/>
    <cellStyle name="40% - Accent4 2 2 9 2" xfId="19453"/>
    <cellStyle name="40% - Accent4 2 3" xfId="2709"/>
    <cellStyle name="40% - Accent4 2 3 2" xfId="2710"/>
    <cellStyle name="40% - Accent4 2 3 2 2" xfId="2711"/>
    <cellStyle name="40% - Accent4 2 3 2 2 2" xfId="2712"/>
    <cellStyle name="40% - Accent4 2 3 2 2 2 2" xfId="2713"/>
    <cellStyle name="40% - Accent4 2 3 2 2 2 2 2" xfId="11713"/>
    <cellStyle name="40% - Accent4 2 3 2 2 2 2 2 2" xfId="19529"/>
    <cellStyle name="40% - Accent4 2 3 2 2 2 2 3" xfId="15642"/>
    <cellStyle name="40% - Accent4 2 3 2 2 2 3" xfId="11712"/>
    <cellStyle name="40% - Accent4 2 3 2 2 2 3 2" xfId="19528"/>
    <cellStyle name="40% - Accent4 2 3 2 2 2 4" xfId="15641"/>
    <cellStyle name="40% - Accent4 2 3 2 2 3" xfId="2714"/>
    <cellStyle name="40% - Accent4 2 3 2 2 3 2" xfId="2715"/>
    <cellStyle name="40% - Accent4 2 3 2 2 3 2 2" xfId="11715"/>
    <cellStyle name="40% - Accent4 2 3 2 2 3 2 2 2" xfId="19531"/>
    <cellStyle name="40% - Accent4 2 3 2 2 3 2 3" xfId="15644"/>
    <cellStyle name="40% - Accent4 2 3 2 2 3 3" xfId="11714"/>
    <cellStyle name="40% - Accent4 2 3 2 2 3 3 2" xfId="19530"/>
    <cellStyle name="40% - Accent4 2 3 2 2 3 4" xfId="15643"/>
    <cellStyle name="40% - Accent4 2 3 2 2 4" xfId="2716"/>
    <cellStyle name="40% - Accent4 2 3 2 2 4 2" xfId="11716"/>
    <cellStyle name="40% - Accent4 2 3 2 2 4 2 2" xfId="19532"/>
    <cellStyle name="40% - Accent4 2 3 2 2 4 3" xfId="15645"/>
    <cellStyle name="40% - Accent4 2 3 2 2 5" xfId="11711"/>
    <cellStyle name="40% - Accent4 2 3 2 2 5 2" xfId="19527"/>
    <cellStyle name="40% - Accent4 2 3 2 2 6" xfId="15640"/>
    <cellStyle name="40% - Accent4 2 3 2 3" xfId="2717"/>
    <cellStyle name="40% - Accent4 2 3 2 3 2" xfId="2718"/>
    <cellStyle name="40% - Accent4 2 3 2 3 2 2" xfId="2719"/>
    <cellStyle name="40% - Accent4 2 3 2 3 2 2 2" xfId="11719"/>
    <cellStyle name="40% - Accent4 2 3 2 3 2 2 2 2" xfId="19535"/>
    <cellStyle name="40% - Accent4 2 3 2 3 2 2 3" xfId="15648"/>
    <cellStyle name="40% - Accent4 2 3 2 3 2 3" xfId="11718"/>
    <cellStyle name="40% - Accent4 2 3 2 3 2 3 2" xfId="19534"/>
    <cellStyle name="40% - Accent4 2 3 2 3 2 4" xfId="15647"/>
    <cellStyle name="40% - Accent4 2 3 2 3 3" xfId="2720"/>
    <cellStyle name="40% - Accent4 2 3 2 3 3 2" xfId="11720"/>
    <cellStyle name="40% - Accent4 2 3 2 3 3 2 2" xfId="19536"/>
    <cellStyle name="40% - Accent4 2 3 2 3 3 3" xfId="15649"/>
    <cellStyle name="40% - Accent4 2 3 2 3 4" xfId="11717"/>
    <cellStyle name="40% - Accent4 2 3 2 3 4 2" xfId="19533"/>
    <cellStyle name="40% - Accent4 2 3 2 3 5" xfId="15646"/>
    <cellStyle name="40% - Accent4 2 3 2 4" xfId="2721"/>
    <cellStyle name="40% - Accent4 2 3 2 4 2" xfId="2722"/>
    <cellStyle name="40% - Accent4 2 3 2 4 2 2" xfId="11722"/>
    <cellStyle name="40% - Accent4 2 3 2 4 2 2 2" xfId="19538"/>
    <cellStyle name="40% - Accent4 2 3 2 4 2 3" xfId="15651"/>
    <cellStyle name="40% - Accent4 2 3 2 4 3" xfId="11721"/>
    <cellStyle name="40% - Accent4 2 3 2 4 3 2" xfId="19537"/>
    <cellStyle name="40% - Accent4 2 3 2 4 4" xfId="15650"/>
    <cellStyle name="40% - Accent4 2 3 2 5" xfId="2723"/>
    <cellStyle name="40% - Accent4 2 3 2 5 2" xfId="11723"/>
    <cellStyle name="40% - Accent4 2 3 2 5 2 2" xfId="19539"/>
    <cellStyle name="40% - Accent4 2 3 2 5 3" xfId="15652"/>
    <cellStyle name="40% - Accent4 2 3 2 6" xfId="11710"/>
    <cellStyle name="40% - Accent4 2 3 2 6 2" xfId="19526"/>
    <cellStyle name="40% - Accent4 2 3 2 7" xfId="15639"/>
    <cellStyle name="40% - Accent4 2 3 3" xfId="2724"/>
    <cellStyle name="40% - Accent4 2 3 3 2" xfId="2725"/>
    <cellStyle name="40% - Accent4 2 3 3 2 2" xfId="2726"/>
    <cellStyle name="40% - Accent4 2 3 3 2 2 2" xfId="2727"/>
    <cellStyle name="40% - Accent4 2 3 3 2 2 2 2" xfId="11727"/>
    <cellStyle name="40% - Accent4 2 3 3 2 2 2 2 2" xfId="19543"/>
    <cellStyle name="40% - Accent4 2 3 3 2 2 2 3" xfId="15656"/>
    <cellStyle name="40% - Accent4 2 3 3 2 2 3" xfId="11726"/>
    <cellStyle name="40% - Accent4 2 3 3 2 2 3 2" xfId="19542"/>
    <cellStyle name="40% - Accent4 2 3 3 2 2 4" xfId="15655"/>
    <cellStyle name="40% - Accent4 2 3 3 2 3" xfId="2728"/>
    <cellStyle name="40% - Accent4 2 3 3 2 3 2" xfId="11728"/>
    <cellStyle name="40% - Accent4 2 3 3 2 3 2 2" xfId="19544"/>
    <cellStyle name="40% - Accent4 2 3 3 2 3 3" xfId="15657"/>
    <cellStyle name="40% - Accent4 2 3 3 2 4" xfId="11725"/>
    <cellStyle name="40% - Accent4 2 3 3 2 4 2" xfId="19541"/>
    <cellStyle name="40% - Accent4 2 3 3 2 5" xfId="15654"/>
    <cellStyle name="40% - Accent4 2 3 3 3" xfId="2729"/>
    <cellStyle name="40% - Accent4 2 3 3 3 2" xfId="2730"/>
    <cellStyle name="40% - Accent4 2 3 3 3 2 2" xfId="11730"/>
    <cellStyle name="40% - Accent4 2 3 3 3 2 2 2" xfId="19546"/>
    <cellStyle name="40% - Accent4 2 3 3 3 2 3" xfId="15659"/>
    <cellStyle name="40% - Accent4 2 3 3 3 3" xfId="11729"/>
    <cellStyle name="40% - Accent4 2 3 3 3 3 2" xfId="19545"/>
    <cellStyle name="40% - Accent4 2 3 3 3 4" xfId="15658"/>
    <cellStyle name="40% - Accent4 2 3 3 4" xfId="2731"/>
    <cellStyle name="40% - Accent4 2 3 3 4 2" xfId="2732"/>
    <cellStyle name="40% - Accent4 2 3 3 4 2 2" xfId="11732"/>
    <cellStyle name="40% - Accent4 2 3 3 4 2 2 2" xfId="19548"/>
    <cellStyle name="40% - Accent4 2 3 3 4 2 3" xfId="15661"/>
    <cellStyle name="40% - Accent4 2 3 3 4 3" xfId="11731"/>
    <cellStyle name="40% - Accent4 2 3 3 4 3 2" xfId="19547"/>
    <cellStyle name="40% - Accent4 2 3 3 4 4" xfId="15660"/>
    <cellStyle name="40% - Accent4 2 3 3 5" xfId="2733"/>
    <cellStyle name="40% - Accent4 2 3 3 5 2" xfId="11733"/>
    <cellStyle name="40% - Accent4 2 3 3 5 2 2" xfId="19549"/>
    <cellStyle name="40% - Accent4 2 3 3 5 3" xfId="15662"/>
    <cellStyle name="40% - Accent4 2 3 3 6" xfId="11724"/>
    <cellStyle name="40% - Accent4 2 3 3 6 2" xfId="19540"/>
    <cellStyle name="40% - Accent4 2 3 3 7" xfId="15653"/>
    <cellStyle name="40% - Accent4 2 3 4" xfId="2734"/>
    <cellStyle name="40% - Accent4 2 3 4 2" xfId="2735"/>
    <cellStyle name="40% - Accent4 2 3 4 2 2" xfId="2736"/>
    <cellStyle name="40% - Accent4 2 3 4 2 2 2" xfId="11736"/>
    <cellStyle name="40% - Accent4 2 3 4 2 2 2 2" xfId="19552"/>
    <cellStyle name="40% - Accent4 2 3 4 2 2 3" xfId="15665"/>
    <cellStyle name="40% - Accent4 2 3 4 2 3" xfId="11735"/>
    <cellStyle name="40% - Accent4 2 3 4 2 3 2" xfId="19551"/>
    <cellStyle name="40% - Accent4 2 3 4 2 4" xfId="15664"/>
    <cellStyle name="40% - Accent4 2 3 4 3" xfId="2737"/>
    <cellStyle name="40% - Accent4 2 3 4 3 2" xfId="11737"/>
    <cellStyle name="40% - Accent4 2 3 4 3 2 2" xfId="19553"/>
    <cellStyle name="40% - Accent4 2 3 4 3 3" xfId="15666"/>
    <cellStyle name="40% - Accent4 2 3 4 4" xfId="11734"/>
    <cellStyle name="40% - Accent4 2 3 4 4 2" xfId="19550"/>
    <cellStyle name="40% - Accent4 2 3 4 5" xfId="15663"/>
    <cellStyle name="40% - Accent4 2 3 5" xfId="2738"/>
    <cellStyle name="40% - Accent4 2 3 5 2" xfId="2739"/>
    <cellStyle name="40% - Accent4 2 3 5 2 2" xfId="11739"/>
    <cellStyle name="40% - Accent4 2 3 5 2 2 2" xfId="19555"/>
    <cellStyle name="40% - Accent4 2 3 5 2 3" xfId="15668"/>
    <cellStyle name="40% - Accent4 2 3 5 3" xfId="11738"/>
    <cellStyle name="40% - Accent4 2 3 5 3 2" xfId="19554"/>
    <cellStyle name="40% - Accent4 2 3 5 4" xfId="15667"/>
    <cellStyle name="40% - Accent4 2 3 6" xfId="2740"/>
    <cellStyle name="40% - Accent4 2 3 6 2" xfId="11740"/>
    <cellStyle name="40% - Accent4 2 3 6 2 2" xfId="19556"/>
    <cellStyle name="40% - Accent4 2 3 6 3" xfId="15669"/>
    <cellStyle name="40% - Accent4 2 3 7" xfId="11709"/>
    <cellStyle name="40% - Accent4 2 3 7 2" xfId="19525"/>
    <cellStyle name="40% - Accent4 2 3 8" xfId="15638"/>
    <cellStyle name="40% - Accent4 2 4" xfId="2741"/>
    <cellStyle name="40% - Accent4 2 4 2" xfId="2742"/>
    <cellStyle name="40% - Accent4 2 4 2 2" xfId="2743"/>
    <cellStyle name="40% - Accent4 2 4 2 2 2" xfId="2744"/>
    <cellStyle name="40% - Accent4 2 4 2 2 2 2" xfId="11744"/>
    <cellStyle name="40% - Accent4 2 4 2 2 2 2 2" xfId="19560"/>
    <cellStyle name="40% - Accent4 2 4 2 2 2 3" xfId="15673"/>
    <cellStyle name="40% - Accent4 2 4 2 2 3" xfId="11743"/>
    <cellStyle name="40% - Accent4 2 4 2 2 3 2" xfId="19559"/>
    <cellStyle name="40% - Accent4 2 4 2 2 4" xfId="15672"/>
    <cellStyle name="40% - Accent4 2 4 2 3" xfId="2745"/>
    <cellStyle name="40% - Accent4 2 4 2 3 2" xfId="2746"/>
    <cellStyle name="40% - Accent4 2 4 2 3 2 2" xfId="11746"/>
    <cellStyle name="40% - Accent4 2 4 2 3 2 2 2" xfId="19562"/>
    <cellStyle name="40% - Accent4 2 4 2 3 2 3" xfId="15675"/>
    <cellStyle name="40% - Accent4 2 4 2 3 3" xfId="11745"/>
    <cellStyle name="40% - Accent4 2 4 2 3 3 2" xfId="19561"/>
    <cellStyle name="40% - Accent4 2 4 2 3 4" xfId="15674"/>
    <cellStyle name="40% - Accent4 2 4 2 4" xfId="2747"/>
    <cellStyle name="40% - Accent4 2 4 2 4 2" xfId="11747"/>
    <cellStyle name="40% - Accent4 2 4 2 4 2 2" xfId="19563"/>
    <cellStyle name="40% - Accent4 2 4 2 4 3" xfId="15676"/>
    <cellStyle name="40% - Accent4 2 4 2 5" xfId="11742"/>
    <cellStyle name="40% - Accent4 2 4 2 5 2" xfId="19558"/>
    <cellStyle name="40% - Accent4 2 4 2 6" xfId="15671"/>
    <cellStyle name="40% - Accent4 2 4 3" xfId="2748"/>
    <cellStyle name="40% - Accent4 2 4 3 2" xfId="2749"/>
    <cellStyle name="40% - Accent4 2 4 3 2 2" xfId="2750"/>
    <cellStyle name="40% - Accent4 2 4 3 2 2 2" xfId="11750"/>
    <cellStyle name="40% - Accent4 2 4 3 2 2 2 2" xfId="19566"/>
    <cellStyle name="40% - Accent4 2 4 3 2 2 3" xfId="15679"/>
    <cellStyle name="40% - Accent4 2 4 3 2 3" xfId="11749"/>
    <cellStyle name="40% - Accent4 2 4 3 2 3 2" xfId="19565"/>
    <cellStyle name="40% - Accent4 2 4 3 2 4" xfId="15678"/>
    <cellStyle name="40% - Accent4 2 4 3 3" xfId="2751"/>
    <cellStyle name="40% - Accent4 2 4 3 3 2" xfId="11751"/>
    <cellStyle name="40% - Accent4 2 4 3 3 2 2" xfId="19567"/>
    <cellStyle name="40% - Accent4 2 4 3 3 3" xfId="15680"/>
    <cellStyle name="40% - Accent4 2 4 3 4" xfId="11748"/>
    <cellStyle name="40% - Accent4 2 4 3 4 2" xfId="19564"/>
    <cellStyle name="40% - Accent4 2 4 3 5" xfId="15677"/>
    <cellStyle name="40% - Accent4 2 4 4" xfId="2752"/>
    <cellStyle name="40% - Accent4 2 4 4 2" xfId="2753"/>
    <cellStyle name="40% - Accent4 2 4 4 2 2" xfId="11753"/>
    <cellStyle name="40% - Accent4 2 4 4 2 2 2" xfId="19569"/>
    <cellStyle name="40% - Accent4 2 4 4 2 3" xfId="15682"/>
    <cellStyle name="40% - Accent4 2 4 4 3" xfId="11752"/>
    <cellStyle name="40% - Accent4 2 4 4 3 2" xfId="19568"/>
    <cellStyle name="40% - Accent4 2 4 4 4" xfId="15681"/>
    <cellStyle name="40% - Accent4 2 4 5" xfId="2754"/>
    <cellStyle name="40% - Accent4 2 4 5 2" xfId="11754"/>
    <cellStyle name="40% - Accent4 2 4 5 2 2" xfId="19570"/>
    <cellStyle name="40% - Accent4 2 4 5 3" xfId="15683"/>
    <cellStyle name="40% - Accent4 2 4 6" xfId="11741"/>
    <cellStyle name="40% - Accent4 2 4 6 2" xfId="19557"/>
    <cellStyle name="40% - Accent4 2 4 7" xfId="15670"/>
    <cellStyle name="40% - Accent4 2 5" xfId="2755"/>
    <cellStyle name="40% - Accent4 2 5 2" xfId="2756"/>
    <cellStyle name="40% - Accent4 2 5 2 2" xfId="2757"/>
    <cellStyle name="40% - Accent4 2 5 2 2 2" xfId="2758"/>
    <cellStyle name="40% - Accent4 2 5 2 2 2 2" xfId="11758"/>
    <cellStyle name="40% - Accent4 2 5 2 2 2 2 2" xfId="19574"/>
    <cellStyle name="40% - Accent4 2 5 2 2 2 3" xfId="15687"/>
    <cellStyle name="40% - Accent4 2 5 2 2 3" xfId="11757"/>
    <cellStyle name="40% - Accent4 2 5 2 2 3 2" xfId="19573"/>
    <cellStyle name="40% - Accent4 2 5 2 2 4" xfId="15686"/>
    <cellStyle name="40% - Accent4 2 5 2 3" xfId="2759"/>
    <cellStyle name="40% - Accent4 2 5 2 3 2" xfId="11759"/>
    <cellStyle name="40% - Accent4 2 5 2 3 2 2" xfId="19575"/>
    <cellStyle name="40% - Accent4 2 5 2 3 3" xfId="15688"/>
    <cellStyle name="40% - Accent4 2 5 2 4" xfId="11756"/>
    <cellStyle name="40% - Accent4 2 5 2 4 2" xfId="19572"/>
    <cellStyle name="40% - Accent4 2 5 2 5" xfId="15685"/>
    <cellStyle name="40% - Accent4 2 5 3" xfId="2760"/>
    <cellStyle name="40% - Accent4 2 5 3 2" xfId="2761"/>
    <cellStyle name="40% - Accent4 2 5 3 2 2" xfId="11761"/>
    <cellStyle name="40% - Accent4 2 5 3 2 2 2" xfId="19577"/>
    <cellStyle name="40% - Accent4 2 5 3 2 3" xfId="15690"/>
    <cellStyle name="40% - Accent4 2 5 3 3" xfId="11760"/>
    <cellStyle name="40% - Accent4 2 5 3 3 2" xfId="19576"/>
    <cellStyle name="40% - Accent4 2 5 3 4" xfId="15689"/>
    <cellStyle name="40% - Accent4 2 5 4" xfId="2762"/>
    <cellStyle name="40% - Accent4 2 5 4 2" xfId="11762"/>
    <cellStyle name="40% - Accent4 2 5 4 2 2" xfId="19578"/>
    <cellStyle name="40% - Accent4 2 5 4 3" xfId="15691"/>
    <cellStyle name="40% - Accent4 2 5 5" xfId="11755"/>
    <cellStyle name="40% - Accent4 2 5 5 2" xfId="19571"/>
    <cellStyle name="40% - Accent4 2 5 6" xfId="15684"/>
    <cellStyle name="40% - Accent4 2 6" xfId="2763"/>
    <cellStyle name="40% - Accent4 2 6 2" xfId="2764"/>
    <cellStyle name="40% - Accent4 2 6 2 2" xfId="2765"/>
    <cellStyle name="40% - Accent4 2 6 2 2 2" xfId="2766"/>
    <cellStyle name="40% - Accent4 2 6 2 2 2 2" xfId="11766"/>
    <cellStyle name="40% - Accent4 2 6 2 2 2 2 2" xfId="19582"/>
    <cellStyle name="40% - Accent4 2 6 2 2 2 3" xfId="15695"/>
    <cellStyle name="40% - Accent4 2 6 2 2 3" xfId="11765"/>
    <cellStyle name="40% - Accent4 2 6 2 2 3 2" xfId="19581"/>
    <cellStyle name="40% - Accent4 2 6 2 2 4" xfId="15694"/>
    <cellStyle name="40% - Accent4 2 6 2 3" xfId="2767"/>
    <cellStyle name="40% - Accent4 2 6 2 3 2" xfId="11767"/>
    <cellStyle name="40% - Accent4 2 6 2 3 2 2" xfId="19583"/>
    <cellStyle name="40% - Accent4 2 6 2 3 3" xfId="15696"/>
    <cellStyle name="40% - Accent4 2 6 2 4" xfId="11764"/>
    <cellStyle name="40% - Accent4 2 6 2 4 2" xfId="19580"/>
    <cellStyle name="40% - Accent4 2 6 2 5" xfId="15693"/>
    <cellStyle name="40% - Accent4 2 6 3" xfId="2768"/>
    <cellStyle name="40% - Accent4 2 6 3 2" xfId="2769"/>
    <cellStyle name="40% - Accent4 2 6 3 2 2" xfId="11769"/>
    <cellStyle name="40% - Accent4 2 6 3 2 2 2" xfId="19585"/>
    <cellStyle name="40% - Accent4 2 6 3 2 3" xfId="15698"/>
    <cellStyle name="40% - Accent4 2 6 3 3" xfId="11768"/>
    <cellStyle name="40% - Accent4 2 6 3 3 2" xfId="19584"/>
    <cellStyle name="40% - Accent4 2 6 3 4" xfId="15697"/>
    <cellStyle name="40% - Accent4 2 6 4" xfId="2770"/>
    <cellStyle name="40% - Accent4 2 6 4 2" xfId="11770"/>
    <cellStyle name="40% - Accent4 2 6 4 2 2" xfId="19586"/>
    <cellStyle name="40% - Accent4 2 6 4 3" xfId="15699"/>
    <cellStyle name="40% - Accent4 2 6 5" xfId="11763"/>
    <cellStyle name="40% - Accent4 2 6 5 2" xfId="19579"/>
    <cellStyle name="40% - Accent4 2 6 6" xfId="15692"/>
    <cellStyle name="40% - Accent4 2 7" xfId="2771"/>
    <cellStyle name="40% - Accent4 2 7 2" xfId="2772"/>
    <cellStyle name="40% - Accent4 2 7 2 2" xfId="2773"/>
    <cellStyle name="40% - Accent4 2 7 2 2 2" xfId="11773"/>
    <cellStyle name="40% - Accent4 2 7 2 2 2 2" xfId="19589"/>
    <cellStyle name="40% - Accent4 2 7 2 2 3" xfId="15702"/>
    <cellStyle name="40% - Accent4 2 7 2 3" xfId="11772"/>
    <cellStyle name="40% - Accent4 2 7 2 3 2" xfId="19588"/>
    <cellStyle name="40% - Accent4 2 7 2 4" xfId="15701"/>
    <cellStyle name="40% - Accent4 2 7 3" xfId="2774"/>
    <cellStyle name="40% - Accent4 2 7 3 2" xfId="11774"/>
    <cellStyle name="40% - Accent4 2 7 3 2 2" xfId="19590"/>
    <cellStyle name="40% - Accent4 2 7 3 3" xfId="15703"/>
    <cellStyle name="40% - Accent4 2 7 4" xfId="11771"/>
    <cellStyle name="40% - Accent4 2 7 4 2" xfId="19587"/>
    <cellStyle name="40% - Accent4 2 7 5" xfId="15700"/>
    <cellStyle name="40% - Accent4 2 8" xfId="2775"/>
    <cellStyle name="40% - Accent4 2 8 2" xfId="2776"/>
    <cellStyle name="40% - Accent4 2 8 2 2" xfId="11776"/>
    <cellStyle name="40% - Accent4 2 8 2 2 2" xfId="19592"/>
    <cellStyle name="40% - Accent4 2 8 2 3" xfId="15705"/>
    <cellStyle name="40% - Accent4 2 8 3" xfId="11775"/>
    <cellStyle name="40% - Accent4 2 8 3 2" xfId="19591"/>
    <cellStyle name="40% - Accent4 2 8 4" xfId="15704"/>
    <cellStyle name="40% - Accent4 2 9" xfId="2777"/>
    <cellStyle name="40% - Accent4 2 9 2" xfId="2778"/>
    <cellStyle name="40% - Accent4 2 9 2 2" xfId="11778"/>
    <cellStyle name="40% - Accent4 2 9 2 2 2" xfId="19594"/>
    <cellStyle name="40% - Accent4 2 9 2 3" xfId="15707"/>
    <cellStyle name="40% - Accent4 2 9 3" xfId="11777"/>
    <cellStyle name="40% - Accent4 2 9 3 2" xfId="19593"/>
    <cellStyle name="40% - Accent4 2 9 4" xfId="15706"/>
    <cellStyle name="40% - Accent4 3" xfId="2779"/>
    <cellStyle name="40% - Accent4 3 2" xfId="2780"/>
    <cellStyle name="40% - Accent4 3 2 2" xfId="2781"/>
    <cellStyle name="40% - Accent4 3 2 2 2" xfId="2782"/>
    <cellStyle name="40% - Accent4 3 2 2 2 2" xfId="2783"/>
    <cellStyle name="40% - Accent4 3 2 2 2 2 2" xfId="2784"/>
    <cellStyle name="40% - Accent4 3 2 2 2 2 2 2" xfId="11783"/>
    <cellStyle name="40% - Accent4 3 2 2 2 2 2 2 2" xfId="19599"/>
    <cellStyle name="40% - Accent4 3 2 2 2 2 2 3" xfId="15712"/>
    <cellStyle name="40% - Accent4 3 2 2 2 2 3" xfId="11782"/>
    <cellStyle name="40% - Accent4 3 2 2 2 2 3 2" xfId="19598"/>
    <cellStyle name="40% - Accent4 3 2 2 2 2 4" xfId="15711"/>
    <cellStyle name="40% - Accent4 3 2 2 2 3" xfId="2785"/>
    <cellStyle name="40% - Accent4 3 2 2 2 3 2" xfId="2786"/>
    <cellStyle name="40% - Accent4 3 2 2 2 3 2 2" xfId="11785"/>
    <cellStyle name="40% - Accent4 3 2 2 2 3 2 2 2" xfId="19601"/>
    <cellStyle name="40% - Accent4 3 2 2 2 3 2 3" xfId="15714"/>
    <cellStyle name="40% - Accent4 3 2 2 2 3 3" xfId="11784"/>
    <cellStyle name="40% - Accent4 3 2 2 2 3 3 2" xfId="19600"/>
    <cellStyle name="40% - Accent4 3 2 2 2 3 4" xfId="15713"/>
    <cellStyle name="40% - Accent4 3 2 2 2 4" xfId="2787"/>
    <cellStyle name="40% - Accent4 3 2 2 2 4 2" xfId="11786"/>
    <cellStyle name="40% - Accent4 3 2 2 2 4 2 2" xfId="19602"/>
    <cellStyle name="40% - Accent4 3 2 2 2 4 3" xfId="15715"/>
    <cellStyle name="40% - Accent4 3 2 2 2 5" xfId="11781"/>
    <cellStyle name="40% - Accent4 3 2 2 2 5 2" xfId="19597"/>
    <cellStyle name="40% - Accent4 3 2 2 2 6" xfId="15710"/>
    <cellStyle name="40% - Accent4 3 2 2 3" xfId="2788"/>
    <cellStyle name="40% - Accent4 3 2 2 3 2" xfId="2789"/>
    <cellStyle name="40% - Accent4 3 2 2 3 2 2" xfId="2790"/>
    <cellStyle name="40% - Accent4 3 2 2 3 2 2 2" xfId="11789"/>
    <cellStyle name="40% - Accent4 3 2 2 3 2 2 2 2" xfId="19605"/>
    <cellStyle name="40% - Accent4 3 2 2 3 2 2 3" xfId="15718"/>
    <cellStyle name="40% - Accent4 3 2 2 3 2 3" xfId="11788"/>
    <cellStyle name="40% - Accent4 3 2 2 3 2 3 2" xfId="19604"/>
    <cellStyle name="40% - Accent4 3 2 2 3 2 4" xfId="15717"/>
    <cellStyle name="40% - Accent4 3 2 2 3 3" xfId="2791"/>
    <cellStyle name="40% - Accent4 3 2 2 3 3 2" xfId="11790"/>
    <cellStyle name="40% - Accent4 3 2 2 3 3 2 2" xfId="19606"/>
    <cellStyle name="40% - Accent4 3 2 2 3 3 3" xfId="15719"/>
    <cellStyle name="40% - Accent4 3 2 2 3 4" xfId="11787"/>
    <cellStyle name="40% - Accent4 3 2 2 3 4 2" xfId="19603"/>
    <cellStyle name="40% - Accent4 3 2 2 3 5" xfId="15716"/>
    <cellStyle name="40% - Accent4 3 2 2 4" xfId="2792"/>
    <cellStyle name="40% - Accent4 3 2 2 4 2" xfId="2793"/>
    <cellStyle name="40% - Accent4 3 2 2 4 2 2" xfId="11792"/>
    <cellStyle name="40% - Accent4 3 2 2 4 2 2 2" xfId="19608"/>
    <cellStyle name="40% - Accent4 3 2 2 4 2 3" xfId="15721"/>
    <cellStyle name="40% - Accent4 3 2 2 4 3" xfId="11791"/>
    <cellStyle name="40% - Accent4 3 2 2 4 3 2" xfId="19607"/>
    <cellStyle name="40% - Accent4 3 2 2 4 4" xfId="15720"/>
    <cellStyle name="40% - Accent4 3 2 2 5" xfId="2794"/>
    <cellStyle name="40% - Accent4 3 2 2 5 2" xfId="11793"/>
    <cellStyle name="40% - Accent4 3 2 2 5 2 2" xfId="19609"/>
    <cellStyle name="40% - Accent4 3 2 2 5 3" xfId="15722"/>
    <cellStyle name="40% - Accent4 3 2 2 6" xfId="11780"/>
    <cellStyle name="40% - Accent4 3 2 2 6 2" xfId="19596"/>
    <cellStyle name="40% - Accent4 3 2 2 7" xfId="15709"/>
    <cellStyle name="40% - Accent4 3 2 3" xfId="2795"/>
    <cellStyle name="40% - Accent4 3 2 3 2" xfId="2796"/>
    <cellStyle name="40% - Accent4 3 2 3 2 2" xfId="2797"/>
    <cellStyle name="40% - Accent4 3 2 3 2 2 2" xfId="2798"/>
    <cellStyle name="40% - Accent4 3 2 3 2 2 2 2" xfId="11797"/>
    <cellStyle name="40% - Accent4 3 2 3 2 2 2 2 2" xfId="19613"/>
    <cellStyle name="40% - Accent4 3 2 3 2 2 2 3" xfId="15726"/>
    <cellStyle name="40% - Accent4 3 2 3 2 2 3" xfId="11796"/>
    <cellStyle name="40% - Accent4 3 2 3 2 2 3 2" xfId="19612"/>
    <cellStyle name="40% - Accent4 3 2 3 2 2 4" xfId="15725"/>
    <cellStyle name="40% - Accent4 3 2 3 2 3" xfId="2799"/>
    <cellStyle name="40% - Accent4 3 2 3 2 3 2" xfId="11798"/>
    <cellStyle name="40% - Accent4 3 2 3 2 3 2 2" xfId="19614"/>
    <cellStyle name="40% - Accent4 3 2 3 2 3 3" xfId="15727"/>
    <cellStyle name="40% - Accent4 3 2 3 2 4" xfId="11795"/>
    <cellStyle name="40% - Accent4 3 2 3 2 4 2" xfId="19611"/>
    <cellStyle name="40% - Accent4 3 2 3 2 5" xfId="15724"/>
    <cellStyle name="40% - Accent4 3 2 3 3" xfId="2800"/>
    <cellStyle name="40% - Accent4 3 2 3 3 2" xfId="2801"/>
    <cellStyle name="40% - Accent4 3 2 3 3 2 2" xfId="11800"/>
    <cellStyle name="40% - Accent4 3 2 3 3 2 2 2" xfId="19616"/>
    <cellStyle name="40% - Accent4 3 2 3 3 2 3" xfId="15729"/>
    <cellStyle name="40% - Accent4 3 2 3 3 3" xfId="11799"/>
    <cellStyle name="40% - Accent4 3 2 3 3 3 2" xfId="19615"/>
    <cellStyle name="40% - Accent4 3 2 3 3 4" xfId="15728"/>
    <cellStyle name="40% - Accent4 3 2 3 4" xfId="2802"/>
    <cellStyle name="40% - Accent4 3 2 3 4 2" xfId="2803"/>
    <cellStyle name="40% - Accent4 3 2 3 4 2 2" xfId="11802"/>
    <cellStyle name="40% - Accent4 3 2 3 4 2 2 2" xfId="19618"/>
    <cellStyle name="40% - Accent4 3 2 3 4 2 3" xfId="15731"/>
    <cellStyle name="40% - Accent4 3 2 3 4 3" xfId="11801"/>
    <cellStyle name="40% - Accent4 3 2 3 4 3 2" xfId="19617"/>
    <cellStyle name="40% - Accent4 3 2 3 4 4" xfId="15730"/>
    <cellStyle name="40% - Accent4 3 2 3 5" xfId="2804"/>
    <cellStyle name="40% - Accent4 3 2 3 5 2" xfId="11803"/>
    <cellStyle name="40% - Accent4 3 2 3 5 2 2" xfId="19619"/>
    <cellStyle name="40% - Accent4 3 2 3 5 3" xfId="15732"/>
    <cellStyle name="40% - Accent4 3 2 3 6" xfId="11794"/>
    <cellStyle name="40% - Accent4 3 2 3 6 2" xfId="19610"/>
    <cellStyle name="40% - Accent4 3 2 3 7" xfId="15723"/>
    <cellStyle name="40% - Accent4 3 2 4" xfId="2805"/>
    <cellStyle name="40% - Accent4 3 2 4 2" xfId="2806"/>
    <cellStyle name="40% - Accent4 3 2 4 2 2" xfId="2807"/>
    <cellStyle name="40% - Accent4 3 2 4 2 2 2" xfId="11806"/>
    <cellStyle name="40% - Accent4 3 2 4 2 2 2 2" xfId="19622"/>
    <cellStyle name="40% - Accent4 3 2 4 2 2 3" xfId="15735"/>
    <cellStyle name="40% - Accent4 3 2 4 2 3" xfId="11805"/>
    <cellStyle name="40% - Accent4 3 2 4 2 3 2" xfId="19621"/>
    <cellStyle name="40% - Accent4 3 2 4 2 4" xfId="15734"/>
    <cellStyle name="40% - Accent4 3 2 4 3" xfId="2808"/>
    <cellStyle name="40% - Accent4 3 2 4 3 2" xfId="11807"/>
    <cellStyle name="40% - Accent4 3 2 4 3 2 2" xfId="19623"/>
    <cellStyle name="40% - Accent4 3 2 4 3 3" xfId="15736"/>
    <cellStyle name="40% - Accent4 3 2 4 4" xfId="11804"/>
    <cellStyle name="40% - Accent4 3 2 4 4 2" xfId="19620"/>
    <cellStyle name="40% - Accent4 3 2 4 5" xfId="15733"/>
    <cellStyle name="40% - Accent4 3 2 5" xfId="2809"/>
    <cellStyle name="40% - Accent4 3 2 5 2" xfId="2810"/>
    <cellStyle name="40% - Accent4 3 2 5 2 2" xfId="11809"/>
    <cellStyle name="40% - Accent4 3 2 5 2 2 2" xfId="19625"/>
    <cellStyle name="40% - Accent4 3 2 5 2 3" xfId="15738"/>
    <cellStyle name="40% - Accent4 3 2 5 3" xfId="11808"/>
    <cellStyle name="40% - Accent4 3 2 5 3 2" xfId="19624"/>
    <cellStyle name="40% - Accent4 3 2 5 4" xfId="15737"/>
    <cellStyle name="40% - Accent4 3 2 6" xfId="2811"/>
    <cellStyle name="40% - Accent4 3 2 6 2" xfId="11810"/>
    <cellStyle name="40% - Accent4 3 2 6 2 2" xfId="19626"/>
    <cellStyle name="40% - Accent4 3 2 6 3" xfId="15739"/>
    <cellStyle name="40% - Accent4 3 2 7" xfId="11779"/>
    <cellStyle name="40% - Accent4 3 2 7 2" xfId="19595"/>
    <cellStyle name="40% - Accent4 3 2 8" xfId="15708"/>
    <cellStyle name="40% - Accent4 3 3" xfId="2812"/>
    <cellStyle name="40% - Accent4 3 3 2" xfId="2813"/>
    <cellStyle name="40% - Accent4 3 3 2 2" xfId="2814"/>
    <cellStyle name="40% - Accent4 3 3 2 2 2" xfId="2815"/>
    <cellStyle name="40% - Accent4 3 3 2 2 2 2" xfId="11814"/>
    <cellStyle name="40% - Accent4 3 3 2 2 2 2 2" xfId="19630"/>
    <cellStyle name="40% - Accent4 3 3 2 2 2 3" xfId="15743"/>
    <cellStyle name="40% - Accent4 3 3 2 2 3" xfId="11813"/>
    <cellStyle name="40% - Accent4 3 3 2 2 3 2" xfId="19629"/>
    <cellStyle name="40% - Accent4 3 3 2 2 4" xfId="15742"/>
    <cellStyle name="40% - Accent4 3 3 2 3" xfId="2816"/>
    <cellStyle name="40% - Accent4 3 3 2 3 2" xfId="2817"/>
    <cellStyle name="40% - Accent4 3 3 2 3 2 2" xfId="11816"/>
    <cellStyle name="40% - Accent4 3 3 2 3 2 2 2" xfId="19632"/>
    <cellStyle name="40% - Accent4 3 3 2 3 2 3" xfId="15745"/>
    <cellStyle name="40% - Accent4 3 3 2 3 3" xfId="11815"/>
    <cellStyle name="40% - Accent4 3 3 2 3 3 2" xfId="19631"/>
    <cellStyle name="40% - Accent4 3 3 2 3 4" xfId="15744"/>
    <cellStyle name="40% - Accent4 3 3 2 4" xfId="2818"/>
    <cellStyle name="40% - Accent4 3 3 2 4 2" xfId="11817"/>
    <cellStyle name="40% - Accent4 3 3 2 4 2 2" xfId="19633"/>
    <cellStyle name="40% - Accent4 3 3 2 4 3" xfId="15746"/>
    <cellStyle name="40% - Accent4 3 3 2 5" xfId="11812"/>
    <cellStyle name="40% - Accent4 3 3 2 5 2" xfId="19628"/>
    <cellStyle name="40% - Accent4 3 3 2 6" xfId="15741"/>
    <cellStyle name="40% - Accent4 3 3 3" xfId="2819"/>
    <cellStyle name="40% - Accent4 3 3 3 2" xfId="2820"/>
    <cellStyle name="40% - Accent4 3 3 3 2 2" xfId="2821"/>
    <cellStyle name="40% - Accent4 3 3 3 2 2 2" xfId="11820"/>
    <cellStyle name="40% - Accent4 3 3 3 2 2 2 2" xfId="19636"/>
    <cellStyle name="40% - Accent4 3 3 3 2 2 3" xfId="15749"/>
    <cellStyle name="40% - Accent4 3 3 3 2 3" xfId="11819"/>
    <cellStyle name="40% - Accent4 3 3 3 2 3 2" xfId="19635"/>
    <cellStyle name="40% - Accent4 3 3 3 2 4" xfId="15748"/>
    <cellStyle name="40% - Accent4 3 3 3 3" xfId="2822"/>
    <cellStyle name="40% - Accent4 3 3 3 3 2" xfId="11821"/>
    <cellStyle name="40% - Accent4 3 3 3 3 2 2" xfId="19637"/>
    <cellStyle name="40% - Accent4 3 3 3 3 3" xfId="15750"/>
    <cellStyle name="40% - Accent4 3 3 3 4" xfId="11818"/>
    <cellStyle name="40% - Accent4 3 3 3 4 2" xfId="19634"/>
    <cellStyle name="40% - Accent4 3 3 3 5" xfId="15747"/>
    <cellStyle name="40% - Accent4 3 3 4" xfId="2823"/>
    <cellStyle name="40% - Accent4 3 3 4 2" xfId="2824"/>
    <cellStyle name="40% - Accent4 3 3 4 2 2" xfId="11823"/>
    <cellStyle name="40% - Accent4 3 3 4 2 2 2" xfId="19639"/>
    <cellStyle name="40% - Accent4 3 3 4 2 3" xfId="15752"/>
    <cellStyle name="40% - Accent4 3 3 4 3" xfId="11822"/>
    <cellStyle name="40% - Accent4 3 3 4 3 2" xfId="19638"/>
    <cellStyle name="40% - Accent4 3 3 4 4" xfId="15751"/>
    <cellStyle name="40% - Accent4 3 3 5" xfId="2825"/>
    <cellStyle name="40% - Accent4 3 3 5 2" xfId="11824"/>
    <cellStyle name="40% - Accent4 3 3 5 2 2" xfId="19640"/>
    <cellStyle name="40% - Accent4 3 3 5 3" xfId="15753"/>
    <cellStyle name="40% - Accent4 3 3 6" xfId="11811"/>
    <cellStyle name="40% - Accent4 3 3 6 2" xfId="19627"/>
    <cellStyle name="40% - Accent4 3 3 7" xfId="15740"/>
    <cellStyle name="40% - Accent4 3 4" xfId="2826"/>
    <cellStyle name="40% - Accent4 3 4 2" xfId="2827"/>
    <cellStyle name="40% - Accent4 3 4 2 2" xfId="2828"/>
    <cellStyle name="40% - Accent4 3 4 2 2 2" xfId="2829"/>
    <cellStyle name="40% - Accent4 3 4 2 2 2 2" xfId="11828"/>
    <cellStyle name="40% - Accent4 3 4 2 2 2 2 2" xfId="19644"/>
    <cellStyle name="40% - Accent4 3 4 2 2 2 3" xfId="15757"/>
    <cellStyle name="40% - Accent4 3 4 2 2 3" xfId="11827"/>
    <cellStyle name="40% - Accent4 3 4 2 2 3 2" xfId="19643"/>
    <cellStyle name="40% - Accent4 3 4 2 2 4" xfId="15756"/>
    <cellStyle name="40% - Accent4 3 4 2 3" xfId="2830"/>
    <cellStyle name="40% - Accent4 3 4 2 3 2" xfId="11829"/>
    <cellStyle name="40% - Accent4 3 4 2 3 2 2" xfId="19645"/>
    <cellStyle name="40% - Accent4 3 4 2 3 3" xfId="15758"/>
    <cellStyle name="40% - Accent4 3 4 2 4" xfId="11826"/>
    <cellStyle name="40% - Accent4 3 4 2 4 2" xfId="19642"/>
    <cellStyle name="40% - Accent4 3 4 2 5" xfId="15755"/>
    <cellStyle name="40% - Accent4 3 4 3" xfId="2831"/>
    <cellStyle name="40% - Accent4 3 4 3 2" xfId="2832"/>
    <cellStyle name="40% - Accent4 3 4 3 2 2" xfId="11831"/>
    <cellStyle name="40% - Accent4 3 4 3 2 2 2" xfId="19647"/>
    <cellStyle name="40% - Accent4 3 4 3 2 3" xfId="15760"/>
    <cellStyle name="40% - Accent4 3 4 3 3" xfId="11830"/>
    <cellStyle name="40% - Accent4 3 4 3 3 2" xfId="19646"/>
    <cellStyle name="40% - Accent4 3 4 3 4" xfId="15759"/>
    <cellStyle name="40% - Accent4 3 4 4" xfId="2833"/>
    <cellStyle name="40% - Accent4 3 4 4 2" xfId="11832"/>
    <cellStyle name="40% - Accent4 3 4 4 2 2" xfId="19648"/>
    <cellStyle name="40% - Accent4 3 4 4 3" xfId="15761"/>
    <cellStyle name="40% - Accent4 3 4 5" xfId="11825"/>
    <cellStyle name="40% - Accent4 3 4 5 2" xfId="19641"/>
    <cellStyle name="40% - Accent4 3 4 6" xfId="15754"/>
    <cellStyle name="40% - Accent4 3 5" xfId="2834"/>
    <cellStyle name="40% - Accent4 3 5 2" xfId="2835"/>
    <cellStyle name="40% - Accent4 3 5 2 2" xfId="2836"/>
    <cellStyle name="40% - Accent4 3 5 2 2 2" xfId="2837"/>
    <cellStyle name="40% - Accent4 3 5 2 2 2 2" xfId="11836"/>
    <cellStyle name="40% - Accent4 3 5 2 2 2 2 2" xfId="19652"/>
    <cellStyle name="40% - Accent4 3 5 2 2 2 3" xfId="15765"/>
    <cellStyle name="40% - Accent4 3 5 2 2 3" xfId="11835"/>
    <cellStyle name="40% - Accent4 3 5 2 2 3 2" xfId="19651"/>
    <cellStyle name="40% - Accent4 3 5 2 2 4" xfId="15764"/>
    <cellStyle name="40% - Accent4 3 5 2 3" xfId="2838"/>
    <cellStyle name="40% - Accent4 3 5 2 3 2" xfId="11837"/>
    <cellStyle name="40% - Accent4 3 5 2 3 2 2" xfId="19653"/>
    <cellStyle name="40% - Accent4 3 5 2 3 3" xfId="15766"/>
    <cellStyle name="40% - Accent4 3 5 2 4" xfId="11834"/>
    <cellStyle name="40% - Accent4 3 5 2 4 2" xfId="19650"/>
    <cellStyle name="40% - Accent4 3 5 2 5" xfId="15763"/>
    <cellStyle name="40% - Accent4 3 5 3" xfId="2839"/>
    <cellStyle name="40% - Accent4 3 5 3 2" xfId="2840"/>
    <cellStyle name="40% - Accent4 3 5 3 2 2" xfId="11839"/>
    <cellStyle name="40% - Accent4 3 5 3 2 2 2" xfId="19655"/>
    <cellStyle name="40% - Accent4 3 5 3 2 3" xfId="15768"/>
    <cellStyle name="40% - Accent4 3 5 3 3" xfId="11838"/>
    <cellStyle name="40% - Accent4 3 5 3 3 2" xfId="19654"/>
    <cellStyle name="40% - Accent4 3 5 3 4" xfId="15767"/>
    <cellStyle name="40% - Accent4 3 5 4" xfId="2841"/>
    <cellStyle name="40% - Accent4 3 5 4 2" xfId="2842"/>
    <cellStyle name="40% - Accent4 3 5 4 2 2" xfId="11841"/>
    <cellStyle name="40% - Accent4 3 5 4 2 2 2" xfId="19657"/>
    <cellStyle name="40% - Accent4 3 5 4 2 3" xfId="15770"/>
    <cellStyle name="40% - Accent4 3 5 4 3" xfId="11840"/>
    <cellStyle name="40% - Accent4 3 5 4 3 2" xfId="19656"/>
    <cellStyle name="40% - Accent4 3 5 4 4" xfId="15769"/>
    <cellStyle name="40% - Accent4 3 5 5" xfId="2843"/>
    <cellStyle name="40% - Accent4 3 5 5 2" xfId="11842"/>
    <cellStyle name="40% - Accent4 3 5 5 2 2" xfId="19658"/>
    <cellStyle name="40% - Accent4 3 5 5 3" xfId="15771"/>
    <cellStyle name="40% - Accent4 3 5 6" xfId="11833"/>
    <cellStyle name="40% - Accent4 3 5 6 2" xfId="19649"/>
    <cellStyle name="40% - Accent4 3 5 7" xfId="15762"/>
    <cellStyle name="40% - Accent4 3 6" xfId="2844"/>
    <cellStyle name="40% - Accent4 3 6 2" xfId="2845"/>
    <cellStyle name="40% - Accent4 3 6 2 2" xfId="2846"/>
    <cellStyle name="40% - Accent4 3 6 2 2 2" xfId="11845"/>
    <cellStyle name="40% - Accent4 3 6 2 2 2 2" xfId="19661"/>
    <cellStyle name="40% - Accent4 3 6 2 2 3" xfId="15774"/>
    <cellStyle name="40% - Accent4 3 6 2 3" xfId="11844"/>
    <cellStyle name="40% - Accent4 3 6 2 3 2" xfId="19660"/>
    <cellStyle name="40% - Accent4 3 6 2 4" xfId="15773"/>
    <cellStyle name="40% - Accent4 3 6 3" xfId="2847"/>
    <cellStyle name="40% - Accent4 3 6 3 2" xfId="11846"/>
    <cellStyle name="40% - Accent4 3 6 3 2 2" xfId="19662"/>
    <cellStyle name="40% - Accent4 3 6 3 3" xfId="15775"/>
    <cellStyle name="40% - Accent4 3 6 4" xfId="11843"/>
    <cellStyle name="40% - Accent4 3 6 4 2" xfId="19659"/>
    <cellStyle name="40% - Accent4 3 6 5" xfId="15772"/>
    <cellStyle name="40% - Accent4 3 7" xfId="2848"/>
    <cellStyle name="40% - Accent4 3 7 2" xfId="2849"/>
    <cellStyle name="40% - Accent4 3 7 2 2" xfId="11848"/>
    <cellStyle name="40% - Accent4 3 7 2 2 2" xfId="19664"/>
    <cellStyle name="40% - Accent4 3 7 2 3" xfId="15777"/>
    <cellStyle name="40% - Accent4 3 7 3" xfId="11847"/>
    <cellStyle name="40% - Accent4 3 7 3 2" xfId="19663"/>
    <cellStyle name="40% - Accent4 3 7 4" xfId="15776"/>
    <cellStyle name="40% - Accent4 3 8" xfId="2850"/>
    <cellStyle name="40% - Accent4 3 8 2" xfId="11849"/>
    <cellStyle name="40% - Accent4 3 8 2 2" xfId="19665"/>
    <cellStyle name="40% - Accent4 3 8 3" xfId="15778"/>
    <cellStyle name="40% - Accent4 3 9" xfId="2851"/>
    <cellStyle name="40% - Accent4 3 9 2" xfId="11850"/>
    <cellStyle name="40% - Accent4 3 9 2 2" xfId="19666"/>
    <cellStyle name="40% - Accent4 3 9 3" xfId="15779"/>
    <cellStyle name="40% - Accent4 4" xfId="2852"/>
    <cellStyle name="40% - Accent4 4 2" xfId="2853"/>
    <cellStyle name="40% - Accent4 4 2 2" xfId="2854"/>
    <cellStyle name="40% - Accent4 4 2 2 2" xfId="2855"/>
    <cellStyle name="40% - Accent4 4 2 2 2 2" xfId="2856"/>
    <cellStyle name="40% - Accent4 4 2 2 2 2 2" xfId="11855"/>
    <cellStyle name="40% - Accent4 4 2 2 2 2 2 2" xfId="19671"/>
    <cellStyle name="40% - Accent4 4 2 2 2 2 3" xfId="15784"/>
    <cellStyle name="40% - Accent4 4 2 2 2 3" xfId="11854"/>
    <cellStyle name="40% - Accent4 4 2 2 2 3 2" xfId="19670"/>
    <cellStyle name="40% - Accent4 4 2 2 2 4" xfId="15783"/>
    <cellStyle name="40% - Accent4 4 2 2 3" xfId="2857"/>
    <cellStyle name="40% - Accent4 4 2 2 3 2" xfId="2858"/>
    <cellStyle name="40% - Accent4 4 2 2 3 2 2" xfId="11857"/>
    <cellStyle name="40% - Accent4 4 2 2 3 2 2 2" xfId="19673"/>
    <cellStyle name="40% - Accent4 4 2 2 3 2 3" xfId="15786"/>
    <cellStyle name="40% - Accent4 4 2 2 3 3" xfId="11856"/>
    <cellStyle name="40% - Accent4 4 2 2 3 3 2" xfId="19672"/>
    <cellStyle name="40% - Accent4 4 2 2 3 4" xfId="15785"/>
    <cellStyle name="40% - Accent4 4 2 2 4" xfId="2859"/>
    <cellStyle name="40% - Accent4 4 2 2 4 2" xfId="11858"/>
    <cellStyle name="40% - Accent4 4 2 2 4 2 2" xfId="19674"/>
    <cellStyle name="40% - Accent4 4 2 2 4 3" xfId="15787"/>
    <cellStyle name="40% - Accent4 4 2 2 5" xfId="11853"/>
    <cellStyle name="40% - Accent4 4 2 2 5 2" xfId="19669"/>
    <cellStyle name="40% - Accent4 4 2 2 6" xfId="15782"/>
    <cellStyle name="40% - Accent4 4 2 3" xfId="2860"/>
    <cellStyle name="40% - Accent4 4 2 3 2" xfId="2861"/>
    <cellStyle name="40% - Accent4 4 2 3 2 2" xfId="2862"/>
    <cellStyle name="40% - Accent4 4 2 3 2 2 2" xfId="11861"/>
    <cellStyle name="40% - Accent4 4 2 3 2 2 2 2" xfId="19677"/>
    <cellStyle name="40% - Accent4 4 2 3 2 2 3" xfId="15790"/>
    <cellStyle name="40% - Accent4 4 2 3 2 3" xfId="11860"/>
    <cellStyle name="40% - Accent4 4 2 3 2 3 2" xfId="19676"/>
    <cellStyle name="40% - Accent4 4 2 3 2 4" xfId="15789"/>
    <cellStyle name="40% - Accent4 4 2 3 3" xfId="2863"/>
    <cellStyle name="40% - Accent4 4 2 3 3 2" xfId="11862"/>
    <cellStyle name="40% - Accent4 4 2 3 3 2 2" xfId="19678"/>
    <cellStyle name="40% - Accent4 4 2 3 3 3" xfId="15791"/>
    <cellStyle name="40% - Accent4 4 2 3 4" xfId="11859"/>
    <cellStyle name="40% - Accent4 4 2 3 4 2" xfId="19675"/>
    <cellStyle name="40% - Accent4 4 2 3 5" xfId="15788"/>
    <cellStyle name="40% - Accent4 4 2 4" xfId="2864"/>
    <cellStyle name="40% - Accent4 4 2 4 2" xfId="2865"/>
    <cellStyle name="40% - Accent4 4 2 4 2 2" xfId="11864"/>
    <cellStyle name="40% - Accent4 4 2 4 2 2 2" xfId="19680"/>
    <cellStyle name="40% - Accent4 4 2 4 2 3" xfId="15793"/>
    <cellStyle name="40% - Accent4 4 2 4 3" xfId="11863"/>
    <cellStyle name="40% - Accent4 4 2 4 3 2" xfId="19679"/>
    <cellStyle name="40% - Accent4 4 2 4 4" xfId="15792"/>
    <cellStyle name="40% - Accent4 4 2 5" xfId="2866"/>
    <cellStyle name="40% - Accent4 4 2 5 2" xfId="11865"/>
    <cellStyle name="40% - Accent4 4 2 5 2 2" xfId="19681"/>
    <cellStyle name="40% - Accent4 4 2 5 3" xfId="15794"/>
    <cellStyle name="40% - Accent4 4 2 6" xfId="11852"/>
    <cellStyle name="40% - Accent4 4 2 6 2" xfId="19668"/>
    <cellStyle name="40% - Accent4 4 2 7" xfId="15781"/>
    <cellStyle name="40% - Accent4 4 3" xfId="2867"/>
    <cellStyle name="40% - Accent4 4 3 2" xfId="2868"/>
    <cellStyle name="40% - Accent4 4 3 2 2" xfId="2869"/>
    <cellStyle name="40% - Accent4 4 3 2 2 2" xfId="2870"/>
    <cellStyle name="40% - Accent4 4 3 2 2 2 2" xfId="11869"/>
    <cellStyle name="40% - Accent4 4 3 2 2 2 2 2" xfId="19685"/>
    <cellStyle name="40% - Accent4 4 3 2 2 2 3" xfId="15798"/>
    <cellStyle name="40% - Accent4 4 3 2 2 3" xfId="11868"/>
    <cellStyle name="40% - Accent4 4 3 2 2 3 2" xfId="19684"/>
    <cellStyle name="40% - Accent4 4 3 2 2 4" xfId="15797"/>
    <cellStyle name="40% - Accent4 4 3 2 3" xfId="2871"/>
    <cellStyle name="40% - Accent4 4 3 2 3 2" xfId="11870"/>
    <cellStyle name="40% - Accent4 4 3 2 3 2 2" xfId="19686"/>
    <cellStyle name="40% - Accent4 4 3 2 3 3" xfId="15799"/>
    <cellStyle name="40% - Accent4 4 3 2 4" xfId="11867"/>
    <cellStyle name="40% - Accent4 4 3 2 4 2" xfId="19683"/>
    <cellStyle name="40% - Accent4 4 3 2 5" xfId="15796"/>
    <cellStyle name="40% - Accent4 4 3 3" xfId="2872"/>
    <cellStyle name="40% - Accent4 4 3 3 2" xfId="2873"/>
    <cellStyle name="40% - Accent4 4 3 3 2 2" xfId="11872"/>
    <cellStyle name="40% - Accent4 4 3 3 2 2 2" xfId="19688"/>
    <cellStyle name="40% - Accent4 4 3 3 2 3" xfId="15801"/>
    <cellStyle name="40% - Accent4 4 3 3 3" xfId="11871"/>
    <cellStyle name="40% - Accent4 4 3 3 3 2" xfId="19687"/>
    <cellStyle name="40% - Accent4 4 3 3 4" xfId="15800"/>
    <cellStyle name="40% - Accent4 4 3 4" xfId="2874"/>
    <cellStyle name="40% - Accent4 4 3 4 2" xfId="2875"/>
    <cellStyle name="40% - Accent4 4 3 4 2 2" xfId="11874"/>
    <cellStyle name="40% - Accent4 4 3 4 2 2 2" xfId="19690"/>
    <cellStyle name="40% - Accent4 4 3 4 2 3" xfId="15803"/>
    <cellStyle name="40% - Accent4 4 3 4 3" xfId="11873"/>
    <cellStyle name="40% - Accent4 4 3 4 3 2" xfId="19689"/>
    <cellStyle name="40% - Accent4 4 3 4 4" xfId="15802"/>
    <cellStyle name="40% - Accent4 4 3 5" xfId="2876"/>
    <cellStyle name="40% - Accent4 4 3 5 2" xfId="11875"/>
    <cellStyle name="40% - Accent4 4 3 5 2 2" xfId="19691"/>
    <cellStyle name="40% - Accent4 4 3 5 3" xfId="15804"/>
    <cellStyle name="40% - Accent4 4 3 6" xfId="11866"/>
    <cellStyle name="40% - Accent4 4 3 6 2" xfId="19682"/>
    <cellStyle name="40% - Accent4 4 3 7" xfId="15795"/>
    <cellStyle name="40% - Accent4 4 4" xfId="2877"/>
    <cellStyle name="40% - Accent4 4 4 2" xfId="2878"/>
    <cellStyle name="40% - Accent4 4 4 2 2" xfId="2879"/>
    <cellStyle name="40% - Accent4 4 4 2 2 2" xfId="11878"/>
    <cellStyle name="40% - Accent4 4 4 2 2 2 2" xfId="19694"/>
    <cellStyle name="40% - Accent4 4 4 2 2 3" xfId="15807"/>
    <cellStyle name="40% - Accent4 4 4 2 3" xfId="11877"/>
    <cellStyle name="40% - Accent4 4 4 2 3 2" xfId="19693"/>
    <cellStyle name="40% - Accent4 4 4 2 4" xfId="15806"/>
    <cellStyle name="40% - Accent4 4 4 3" xfId="2880"/>
    <cellStyle name="40% - Accent4 4 4 3 2" xfId="11879"/>
    <cellStyle name="40% - Accent4 4 4 3 2 2" xfId="19695"/>
    <cellStyle name="40% - Accent4 4 4 3 3" xfId="15808"/>
    <cellStyle name="40% - Accent4 4 4 4" xfId="11876"/>
    <cellStyle name="40% - Accent4 4 4 4 2" xfId="19692"/>
    <cellStyle name="40% - Accent4 4 4 5" xfId="15805"/>
    <cellStyle name="40% - Accent4 4 5" xfId="2881"/>
    <cellStyle name="40% - Accent4 4 5 2" xfId="2882"/>
    <cellStyle name="40% - Accent4 4 5 2 2" xfId="11881"/>
    <cellStyle name="40% - Accent4 4 5 2 2 2" xfId="19697"/>
    <cellStyle name="40% - Accent4 4 5 2 3" xfId="15810"/>
    <cellStyle name="40% - Accent4 4 5 3" xfId="11880"/>
    <cellStyle name="40% - Accent4 4 5 3 2" xfId="19696"/>
    <cellStyle name="40% - Accent4 4 5 4" xfId="15809"/>
    <cellStyle name="40% - Accent4 4 6" xfId="2883"/>
    <cellStyle name="40% - Accent4 4 6 2" xfId="11882"/>
    <cellStyle name="40% - Accent4 4 6 2 2" xfId="19698"/>
    <cellStyle name="40% - Accent4 4 6 3" xfId="15811"/>
    <cellStyle name="40% - Accent4 4 7" xfId="11851"/>
    <cellStyle name="40% - Accent4 4 7 2" xfId="19667"/>
    <cellStyle name="40% - Accent4 4 8" xfId="15780"/>
    <cellStyle name="40% - Accent4 5" xfId="2884"/>
    <cellStyle name="40% - Accent4 5 2" xfId="2885"/>
    <cellStyle name="40% - Accent4 5 2 2" xfId="2886"/>
    <cellStyle name="40% - Accent4 5 2 2 2" xfId="2887"/>
    <cellStyle name="40% - Accent4 5 2 2 2 2" xfId="11886"/>
    <cellStyle name="40% - Accent4 5 2 2 2 2 2" xfId="19702"/>
    <cellStyle name="40% - Accent4 5 2 2 2 3" xfId="15815"/>
    <cellStyle name="40% - Accent4 5 2 2 3" xfId="11885"/>
    <cellStyle name="40% - Accent4 5 2 2 3 2" xfId="19701"/>
    <cellStyle name="40% - Accent4 5 2 2 4" xfId="15814"/>
    <cellStyle name="40% - Accent4 5 2 3" xfId="2888"/>
    <cellStyle name="40% - Accent4 5 2 3 2" xfId="2889"/>
    <cellStyle name="40% - Accent4 5 2 3 2 2" xfId="11888"/>
    <cellStyle name="40% - Accent4 5 2 3 2 2 2" xfId="19704"/>
    <cellStyle name="40% - Accent4 5 2 3 2 3" xfId="15817"/>
    <cellStyle name="40% - Accent4 5 2 3 3" xfId="11887"/>
    <cellStyle name="40% - Accent4 5 2 3 3 2" xfId="19703"/>
    <cellStyle name="40% - Accent4 5 2 3 4" xfId="15816"/>
    <cellStyle name="40% - Accent4 5 2 4" xfId="2890"/>
    <cellStyle name="40% - Accent4 5 2 4 2" xfId="11889"/>
    <cellStyle name="40% - Accent4 5 2 4 2 2" xfId="19705"/>
    <cellStyle name="40% - Accent4 5 2 4 3" xfId="15818"/>
    <cellStyle name="40% - Accent4 5 2 5" xfId="11884"/>
    <cellStyle name="40% - Accent4 5 2 5 2" xfId="19700"/>
    <cellStyle name="40% - Accent4 5 2 6" xfId="15813"/>
    <cellStyle name="40% - Accent4 5 3" xfId="2891"/>
    <cellStyle name="40% - Accent4 5 3 2" xfId="2892"/>
    <cellStyle name="40% - Accent4 5 3 2 2" xfId="2893"/>
    <cellStyle name="40% - Accent4 5 3 2 2 2" xfId="11892"/>
    <cellStyle name="40% - Accent4 5 3 2 2 2 2" xfId="19708"/>
    <cellStyle name="40% - Accent4 5 3 2 2 3" xfId="15821"/>
    <cellStyle name="40% - Accent4 5 3 2 3" xfId="11891"/>
    <cellStyle name="40% - Accent4 5 3 2 3 2" xfId="19707"/>
    <cellStyle name="40% - Accent4 5 3 2 4" xfId="15820"/>
    <cellStyle name="40% - Accent4 5 3 3" xfId="2894"/>
    <cellStyle name="40% - Accent4 5 3 3 2" xfId="11893"/>
    <cellStyle name="40% - Accent4 5 3 3 2 2" xfId="19709"/>
    <cellStyle name="40% - Accent4 5 3 3 3" xfId="15822"/>
    <cellStyle name="40% - Accent4 5 3 4" xfId="11890"/>
    <cellStyle name="40% - Accent4 5 3 4 2" xfId="19706"/>
    <cellStyle name="40% - Accent4 5 3 5" xfId="15819"/>
    <cellStyle name="40% - Accent4 5 4" xfId="2895"/>
    <cellStyle name="40% - Accent4 5 4 2" xfId="2896"/>
    <cellStyle name="40% - Accent4 5 4 2 2" xfId="11895"/>
    <cellStyle name="40% - Accent4 5 4 2 2 2" xfId="19711"/>
    <cellStyle name="40% - Accent4 5 4 2 3" xfId="15824"/>
    <cellStyle name="40% - Accent4 5 4 3" xfId="11894"/>
    <cellStyle name="40% - Accent4 5 4 3 2" xfId="19710"/>
    <cellStyle name="40% - Accent4 5 4 4" xfId="15823"/>
    <cellStyle name="40% - Accent4 5 5" xfId="2897"/>
    <cellStyle name="40% - Accent4 5 5 2" xfId="11896"/>
    <cellStyle name="40% - Accent4 5 5 2 2" xfId="19712"/>
    <cellStyle name="40% - Accent4 5 5 3" xfId="15825"/>
    <cellStyle name="40% - Accent4 5 6" xfId="11883"/>
    <cellStyle name="40% - Accent4 5 6 2" xfId="19699"/>
    <cellStyle name="40% - Accent4 5 7" xfId="15812"/>
    <cellStyle name="40% - Accent4 6" xfId="2898"/>
    <cellStyle name="40% - Accent4 6 2" xfId="2899"/>
    <cellStyle name="40% - Accent4 6 2 2" xfId="2900"/>
    <cellStyle name="40% - Accent4 6 2 2 2" xfId="2901"/>
    <cellStyle name="40% - Accent4 6 2 2 2 2" xfId="11900"/>
    <cellStyle name="40% - Accent4 6 2 2 2 2 2" xfId="19716"/>
    <cellStyle name="40% - Accent4 6 2 2 2 3" xfId="15829"/>
    <cellStyle name="40% - Accent4 6 2 2 3" xfId="11899"/>
    <cellStyle name="40% - Accent4 6 2 2 3 2" xfId="19715"/>
    <cellStyle name="40% - Accent4 6 2 2 4" xfId="15828"/>
    <cellStyle name="40% - Accent4 6 2 3" xfId="2902"/>
    <cellStyle name="40% - Accent4 6 2 3 2" xfId="11901"/>
    <cellStyle name="40% - Accent4 6 2 3 2 2" xfId="19717"/>
    <cellStyle name="40% - Accent4 6 2 3 3" xfId="15830"/>
    <cellStyle name="40% - Accent4 6 2 4" xfId="11898"/>
    <cellStyle name="40% - Accent4 6 2 4 2" xfId="19714"/>
    <cellStyle name="40% - Accent4 6 2 5" xfId="15827"/>
    <cellStyle name="40% - Accent4 6 3" xfId="2903"/>
    <cellStyle name="40% - Accent4 6 3 2" xfId="2904"/>
    <cellStyle name="40% - Accent4 6 3 2 2" xfId="11903"/>
    <cellStyle name="40% - Accent4 6 3 2 2 2" xfId="19719"/>
    <cellStyle name="40% - Accent4 6 3 2 3" xfId="15832"/>
    <cellStyle name="40% - Accent4 6 3 3" xfId="11902"/>
    <cellStyle name="40% - Accent4 6 3 3 2" xfId="19718"/>
    <cellStyle name="40% - Accent4 6 3 4" xfId="15831"/>
    <cellStyle name="40% - Accent4 6 4" xfId="2905"/>
    <cellStyle name="40% - Accent4 6 4 2" xfId="11904"/>
    <cellStyle name="40% - Accent4 6 4 2 2" xfId="19720"/>
    <cellStyle name="40% - Accent4 6 4 3" xfId="15833"/>
    <cellStyle name="40% - Accent4 6 5" xfId="11897"/>
    <cellStyle name="40% - Accent4 6 5 2" xfId="19713"/>
    <cellStyle name="40% - Accent4 6 6" xfId="15826"/>
    <cellStyle name="40% - Accent4 7" xfId="2906"/>
    <cellStyle name="40% - Accent4 7 2" xfId="2907"/>
    <cellStyle name="40% - Accent4 7 2 2" xfId="2908"/>
    <cellStyle name="40% - Accent4 7 2 2 2" xfId="2909"/>
    <cellStyle name="40% - Accent4 7 2 2 2 2" xfId="11908"/>
    <cellStyle name="40% - Accent4 7 2 2 2 2 2" xfId="19724"/>
    <cellStyle name="40% - Accent4 7 2 2 2 3" xfId="15837"/>
    <cellStyle name="40% - Accent4 7 2 2 3" xfId="11907"/>
    <cellStyle name="40% - Accent4 7 2 2 3 2" xfId="19723"/>
    <cellStyle name="40% - Accent4 7 2 2 4" xfId="15836"/>
    <cellStyle name="40% - Accent4 7 2 3" xfId="2910"/>
    <cellStyle name="40% - Accent4 7 2 3 2" xfId="11909"/>
    <cellStyle name="40% - Accent4 7 2 3 2 2" xfId="19725"/>
    <cellStyle name="40% - Accent4 7 2 3 3" xfId="15838"/>
    <cellStyle name="40% - Accent4 7 2 4" xfId="11906"/>
    <cellStyle name="40% - Accent4 7 2 4 2" xfId="19722"/>
    <cellStyle name="40% - Accent4 7 2 5" xfId="15835"/>
    <cellStyle name="40% - Accent4 7 3" xfId="2911"/>
    <cellStyle name="40% - Accent4 7 3 2" xfId="2912"/>
    <cellStyle name="40% - Accent4 7 3 2 2" xfId="11911"/>
    <cellStyle name="40% - Accent4 7 3 2 2 2" xfId="19727"/>
    <cellStyle name="40% - Accent4 7 3 2 3" xfId="15840"/>
    <cellStyle name="40% - Accent4 7 3 3" xfId="11910"/>
    <cellStyle name="40% - Accent4 7 3 3 2" xfId="19726"/>
    <cellStyle name="40% - Accent4 7 3 4" xfId="15839"/>
    <cellStyle name="40% - Accent4 7 4" xfId="2913"/>
    <cellStyle name="40% - Accent4 7 4 2" xfId="11912"/>
    <cellStyle name="40% - Accent4 7 4 2 2" xfId="19728"/>
    <cellStyle name="40% - Accent4 7 4 3" xfId="15841"/>
    <cellStyle name="40% - Accent4 7 5" xfId="11905"/>
    <cellStyle name="40% - Accent4 7 5 2" xfId="19721"/>
    <cellStyle name="40% - Accent4 7 6" xfId="15834"/>
    <cellStyle name="40% - Accent4 8" xfId="2914"/>
    <cellStyle name="40% - Accent4 8 2" xfId="2915"/>
    <cellStyle name="40% - Accent4 8 2 2" xfId="2916"/>
    <cellStyle name="40% - Accent4 8 2 2 2" xfId="11915"/>
    <cellStyle name="40% - Accent4 8 2 2 2 2" xfId="19731"/>
    <cellStyle name="40% - Accent4 8 2 2 3" xfId="15844"/>
    <cellStyle name="40% - Accent4 8 2 3" xfId="11914"/>
    <cellStyle name="40% - Accent4 8 2 3 2" xfId="19730"/>
    <cellStyle name="40% - Accent4 8 2 4" xfId="15843"/>
    <cellStyle name="40% - Accent4 8 3" xfId="2917"/>
    <cellStyle name="40% - Accent4 8 3 2" xfId="11916"/>
    <cellStyle name="40% - Accent4 8 3 2 2" xfId="19732"/>
    <cellStyle name="40% - Accent4 8 3 3" xfId="15845"/>
    <cellStyle name="40% - Accent4 8 4" xfId="11913"/>
    <cellStyle name="40% - Accent4 8 4 2" xfId="19729"/>
    <cellStyle name="40% - Accent4 8 5" xfId="15842"/>
    <cellStyle name="40% - Accent4 9" xfId="2918"/>
    <cellStyle name="40% - Accent4 9 2" xfId="2919"/>
    <cellStyle name="40% - Accent4 9 2 2" xfId="11918"/>
    <cellStyle name="40% - Accent4 9 2 2 2" xfId="19734"/>
    <cellStyle name="40% - Accent4 9 2 3" xfId="15847"/>
    <cellStyle name="40% - Accent4 9 3" xfId="11917"/>
    <cellStyle name="40% - Accent4 9 3 2" xfId="19733"/>
    <cellStyle name="40% - Accent4 9 4" xfId="15846"/>
    <cellStyle name="40% - Accent5 10" xfId="2920"/>
    <cellStyle name="40% - Accent5 10 2" xfId="2921"/>
    <cellStyle name="40% - Accent5 10 2 2" xfId="11920"/>
    <cellStyle name="40% - Accent5 10 2 2 2" xfId="19736"/>
    <cellStyle name="40% - Accent5 10 2 3" xfId="15849"/>
    <cellStyle name="40% - Accent5 10 3" xfId="11919"/>
    <cellStyle name="40% - Accent5 10 3 2" xfId="19735"/>
    <cellStyle name="40% - Accent5 10 4" xfId="15848"/>
    <cellStyle name="40% - Accent5 11" xfId="2922"/>
    <cellStyle name="40% - Accent5 11 2" xfId="11921"/>
    <cellStyle name="40% - Accent5 11 2 2" xfId="19737"/>
    <cellStyle name="40% - Accent5 11 3" xfId="15850"/>
    <cellStyle name="40% - Accent5 12" xfId="2923"/>
    <cellStyle name="40% - Accent5 12 2" xfId="11922"/>
    <cellStyle name="40% - Accent5 12 2 2" xfId="19738"/>
    <cellStyle name="40% - Accent5 12 3" xfId="15851"/>
    <cellStyle name="40% - Accent5 2" xfId="2924"/>
    <cellStyle name="40% - Accent5 2 10" xfId="2925"/>
    <cellStyle name="40% - Accent5 2 10 2" xfId="11924"/>
    <cellStyle name="40% - Accent5 2 10 2 2" xfId="19740"/>
    <cellStyle name="40% - Accent5 2 10 3" xfId="15853"/>
    <cellStyle name="40% - Accent5 2 11" xfId="11923"/>
    <cellStyle name="40% - Accent5 2 11 2" xfId="19739"/>
    <cellStyle name="40% - Accent5 2 12" xfId="12952"/>
    <cellStyle name="40% - Accent5 2 13" xfId="15852"/>
    <cellStyle name="40% - Accent5 2 2" xfId="2926"/>
    <cellStyle name="40% - Accent5 2 2 10" xfId="15854"/>
    <cellStyle name="40% - Accent5 2 2 2" xfId="2927"/>
    <cellStyle name="40% - Accent5 2 2 2 2" xfId="2928"/>
    <cellStyle name="40% - Accent5 2 2 2 2 2" xfId="2929"/>
    <cellStyle name="40% - Accent5 2 2 2 2 2 2" xfId="2930"/>
    <cellStyle name="40% - Accent5 2 2 2 2 2 2 2" xfId="2931"/>
    <cellStyle name="40% - Accent5 2 2 2 2 2 2 2 2" xfId="11930"/>
    <cellStyle name="40% - Accent5 2 2 2 2 2 2 2 2 2" xfId="19746"/>
    <cellStyle name="40% - Accent5 2 2 2 2 2 2 2 3" xfId="15859"/>
    <cellStyle name="40% - Accent5 2 2 2 2 2 2 3" xfId="11929"/>
    <cellStyle name="40% - Accent5 2 2 2 2 2 2 3 2" xfId="19745"/>
    <cellStyle name="40% - Accent5 2 2 2 2 2 2 4" xfId="15858"/>
    <cellStyle name="40% - Accent5 2 2 2 2 2 3" xfId="2932"/>
    <cellStyle name="40% - Accent5 2 2 2 2 2 3 2" xfId="2933"/>
    <cellStyle name="40% - Accent5 2 2 2 2 2 3 2 2" xfId="11932"/>
    <cellStyle name="40% - Accent5 2 2 2 2 2 3 2 2 2" xfId="19748"/>
    <cellStyle name="40% - Accent5 2 2 2 2 2 3 2 3" xfId="15861"/>
    <cellStyle name="40% - Accent5 2 2 2 2 2 3 3" xfId="11931"/>
    <cellStyle name="40% - Accent5 2 2 2 2 2 3 3 2" xfId="19747"/>
    <cellStyle name="40% - Accent5 2 2 2 2 2 3 4" xfId="15860"/>
    <cellStyle name="40% - Accent5 2 2 2 2 2 4" xfId="2934"/>
    <cellStyle name="40% - Accent5 2 2 2 2 2 4 2" xfId="11933"/>
    <cellStyle name="40% - Accent5 2 2 2 2 2 4 2 2" xfId="19749"/>
    <cellStyle name="40% - Accent5 2 2 2 2 2 4 3" xfId="15862"/>
    <cellStyle name="40% - Accent5 2 2 2 2 2 5" xfId="11928"/>
    <cellStyle name="40% - Accent5 2 2 2 2 2 5 2" xfId="19744"/>
    <cellStyle name="40% - Accent5 2 2 2 2 2 6" xfId="15857"/>
    <cellStyle name="40% - Accent5 2 2 2 2 3" xfId="2935"/>
    <cellStyle name="40% - Accent5 2 2 2 2 3 2" xfId="2936"/>
    <cellStyle name="40% - Accent5 2 2 2 2 3 2 2" xfId="2937"/>
    <cellStyle name="40% - Accent5 2 2 2 2 3 2 2 2" xfId="11936"/>
    <cellStyle name="40% - Accent5 2 2 2 2 3 2 2 2 2" xfId="19752"/>
    <cellStyle name="40% - Accent5 2 2 2 2 3 2 2 3" xfId="15865"/>
    <cellStyle name="40% - Accent5 2 2 2 2 3 2 3" xfId="11935"/>
    <cellStyle name="40% - Accent5 2 2 2 2 3 2 3 2" xfId="19751"/>
    <cellStyle name="40% - Accent5 2 2 2 2 3 2 4" xfId="15864"/>
    <cellStyle name="40% - Accent5 2 2 2 2 3 3" xfId="2938"/>
    <cellStyle name="40% - Accent5 2 2 2 2 3 3 2" xfId="11937"/>
    <cellStyle name="40% - Accent5 2 2 2 2 3 3 2 2" xfId="19753"/>
    <cellStyle name="40% - Accent5 2 2 2 2 3 3 3" xfId="15866"/>
    <cellStyle name="40% - Accent5 2 2 2 2 3 4" xfId="11934"/>
    <cellStyle name="40% - Accent5 2 2 2 2 3 4 2" xfId="19750"/>
    <cellStyle name="40% - Accent5 2 2 2 2 3 5" xfId="15863"/>
    <cellStyle name="40% - Accent5 2 2 2 2 4" xfId="2939"/>
    <cellStyle name="40% - Accent5 2 2 2 2 4 2" xfId="2940"/>
    <cellStyle name="40% - Accent5 2 2 2 2 4 2 2" xfId="11939"/>
    <cellStyle name="40% - Accent5 2 2 2 2 4 2 2 2" xfId="19755"/>
    <cellStyle name="40% - Accent5 2 2 2 2 4 2 3" xfId="15868"/>
    <cellStyle name="40% - Accent5 2 2 2 2 4 3" xfId="11938"/>
    <cellStyle name="40% - Accent5 2 2 2 2 4 3 2" xfId="19754"/>
    <cellStyle name="40% - Accent5 2 2 2 2 4 4" xfId="15867"/>
    <cellStyle name="40% - Accent5 2 2 2 2 5" xfId="2941"/>
    <cellStyle name="40% - Accent5 2 2 2 2 5 2" xfId="11940"/>
    <cellStyle name="40% - Accent5 2 2 2 2 5 2 2" xfId="19756"/>
    <cellStyle name="40% - Accent5 2 2 2 2 5 3" xfId="15869"/>
    <cellStyle name="40% - Accent5 2 2 2 2 6" xfId="11927"/>
    <cellStyle name="40% - Accent5 2 2 2 2 6 2" xfId="19743"/>
    <cellStyle name="40% - Accent5 2 2 2 2 7" xfId="15856"/>
    <cellStyle name="40% - Accent5 2 2 2 3" xfId="2942"/>
    <cellStyle name="40% - Accent5 2 2 2 3 2" xfId="2943"/>
    <cellStyle name="40% - Accent5 2 2 2 3 2 2" xfId="2944"/>
    <cellStyle name="40% - Accent5 2 2 2 3 2 2 2" xfId="2945"/>
    <cellStyle name="40% - Accent5 2 2 2 3 2 2 2 2" xfId="11944"/>
    <cellStyle name="40% - Accent5 2 2 2 3 2 2 2 2 2" xfId="19760"/>
    <cellStyle name="40% - Accent5 2 2 2 3 2 2 2 3" xfId="15873"/>
    <cellStyle name="40% - Accent5 2 2 2 3 2 2 3" xfId="11943"/>
    <cellStyle name="40% - Accent5 2 2 2 3 2 2 3 2" xfId="19759"/>
    <cellStyle name="40% - Accent5 2 2 2 3 2 2 4" xfId="15872"/>
    <cellStyle name="40% - Accent5 2 2 2 3 2 3" xfId="2946"/>
    <cellStyle name="40% - Accent5 2 2 2 3 2 3 2" xfId="11945"/>
    <cellStyle name="40% - Accent5 2 2 2 3 2 3 2 2" xfId="19761"/>
    <cellStyle name="40% - Accent5 2 2 2 3 2 3 3" xfId="15874"/>
    <cellStyle name="40% - Accent5 2 2 2 3 2 4" xfId="11942"/>
    <cellStyle name="40% - Accent5 2 2 2 3 2 4 2" xfId="19758"/>
    <cellStyle name="40% - Accent5 2 2 2 3 2 5" xfId="15871"/>
    <cellStyle name="40% - Accent5 2 2 2 3 3" xfId="2947"/>
    <cellStyle name="40% - Accent5 2 2 2 3 3 2" xfId="2948"/>
    <cellStyle name="40% - Accent5 2 2 2 3 3 2 2" xfId="11947"/>
    <cellStyle name="40% - Accent5 2 2 2 3 3 2 2 2" xfId="19763"/>
    <cellStyle name="40% - Accent5 2 2 2 3 3 2 3" xfId="15876"/>
    <cellStyle name="40% - Accent5 2 2 2 3 3 3" xfId="11946"/>
    <cellStyle name="40% - Accent5 2 2 2 3 3 3 2" xfId="19762"/>
    <cellStyle name="40% - Accent5 2 2 2 3 3 4" xfId="15875"/>
    <cellStyle name="40% - Accent5 2 2 2 3 4" xfId="2949"/>
    <cellStyle name="40% - Accent5 2 2 2 3 4 2" xfId="2950"/>
    <cellStyle name="40% - Accent5 2 2 2 3 4 2 2" xfId="11949"/>
    <cellStyle name="40% - Accent5 2 2 2 3 4 2 2 2" xfId="19765"/>
    <cellStyle name="40% - Accent5 2 2 2 3 4 2 3" xfId="15878"/>
    <cellStyle name="40% - Accent5 2 2 2 3 4 3" xfId="11948"/>
    <cellStyle name="40% - Accent5 2 2 2 3 4 3 2" xfId="19764"/>
    <cellStyle name="40% - Accent5 2 2 2 3 4 4" xfId="15877"/>
    <cellStyle name="40% - Accent5 2 2 2 3 5" xfId="2951"/>
    <cellStyle name="40% - Accent5 2 2 2 3 5 2" xfId="11950"/>
    <cellStyle name="40% - Accent5 2 2 2 3 5 2 2" xfId="19766"/>
    <cellStyle name="40% - Accent5 2 2 2 3 5 3" xfId="15879"/>
    <cellStyle name="40% - Accent5 2 2 2 3 6" xfId="11941"/>
    <cellStyle name="40% - Accent5 2 2 2 3 6 2" xfId="19757"/>
    <cellStyle name="40% - Accent5 2 2 2 3 7" xfId="15870"/>
    <cellStyle name="40% - Accent5 2 2 2 4" xfId="2952"/>
    <cellStyle name="40% - Accent5 2 2 2 4 2" xfId="2953"/>
    <cellStyle name="40% - Accent5 2 2 2 4 2 2" xfId="2954"/>
    <cellStyle name="40% - Accent5 2 2 2 4 2 2 2" xfId="11953"/>
    <cellStyle name="40% - Accent5 2 2 2 4 2 2 2 2" xfId="19769"/>
    <cellStyle name="40% - Accent5 2 2 2 4 2 2 3" xfId="15882"/>
    <cellStyle name="40% - Accent5 2 2 2 4 2 3" xfId="11952"/>
    <cellStyle name="40% - Accent5 2 2 2 4 2 3 2" xfId="19768"/>
    <cellStyle name="40% - Accent5 2 2 2 4 2 4" xfId="15881"/>
    <cellStyle name="40% - Accent5 2 2 2 4 3" xfId="2955"/>
    <cellStyle name="40% - Accent5 2 2 2 4 3 2" xfId="11954"/>
    <cellStyle name="40% - Accent5 2 2 2 4 3 2 2" xfId="19770"/>
    <cellStyle name="40% - Accent5 2 2 2 4 3 3" xfId="15883"/>
    <cellStyle name="40% - Accent5 2 2 2 4 4" xfId="11951"/>
    <cellStyle name="40% - Accent5 2 2 2 4 4 2" xfId="19767"/>
    <cellStyle name="40% - Accent5 2 2 2 4 5" xfId="15880"/>
    <cellStyle name="40% - Accent5 2 2 2 5" xfId="2956"/>
    <cellStyle name="40% - Accent5 2 2 2 5 2" xfId="2957"/>
    <cellStyle name="40% - Accent5 2 2 2 5 2 2" xfId="11956"/>
    <cellStyle name="40% - Accent5 2 2 2 5 2 2 2" xfId="19772"/>
    <cellStyle name="40% - Accent5 2 2 2 5 2 3" xfId="15885"/>
    <cellStyle name="40% - Accent5 2 2 2 5 3" xfId="11955"/>
    <cellStyle name="40% - Accent5 2 2 2 5 3 2" xfId="19771"/>
    <cellStyle name="40% - Accent5 2 2 2 5 4" xfId="15884"/>
    <cellStyle name="40% - Accent5 2 2 2 6" xfId="2958"/>
    <cellStyle name="40% - Accent5 2 2 2 6 2" xfId="11957"/>
    <cellStyle name="40% - Accent5 2 2 2 6 2 2" xfId="19773"/>
    <cellStyle name="40% - Accent5 2 2 2 6 3" xfId="15886"/>
    <cellStyle name="40% - Accent5 2 2 2 7" xfId="11926"/>
    <cellStyle name="40% - Accent5 2 2 2 7 2" xfId="19742"/>
    <cellStyle name="40% - Accent5 2 2 2 8" xfId="15855"/>
    <cellStyle name="40% - Accent5 2 2 3" xfId="2959"/>
    <cellStyle name="40% - Accent5 2 2 3 2" xfId="2960"/>
    <cellStyle name="40% - Accent5 2 2 3 2 2" xfId="2961"/>
    <cellStyle name="40% - Accent5 2 2 3 2 2 2" xfId="2962"/>
    <cellStyle name="40% - Accent5 2 2 3 2 2 2 2" xfId="11961"/>
    <cellStyle name="40% - Accent5 2 2 3 2 2 2 2 2" xfId="19777"/>
    <cellStyle name="40% - Accent5 2 2 3 2 2 2 3" xfId="15890"/>
    <cellStyle name="40% - Accent5 2 2 3 2 2 3" xfId="11960"/>
    <cellStyle name="40% - Accent5 2 2 3 2 2 3 2" xfId="19776"/>
    <cellStyle name="40% - Accent5 2 2 3 2 2 4" xfId="15889"/>
    <cellStyle name="40% - Accent5 2 2 3 2 3" xfId="2963"/>
    <cellStyle name="40% - Accent5 2 2 3 2 3 2" xfId="2964"/>
    <cellStyle name="40% - Accent5 2 2 3 2 3 2 2" xfId="11963"/>
    <cellStyle name="40% - Accent5 2 2 3 2 3 2 2 2" xfId="19779"/>
    <cellStyle name="40% - Accent5 2 2 3 2 3 2 3" xfId="15892"/>
    <cellStyle name="40% - Accent5 2 2 3 2 3 3" xfId="11962"/>
    <cellStyle name="40% - Accent5 2 2 3 2 3 3 2" xfId="19778"/>
    <cellStyle name="40% - Accent5 2 2 3 2 3 4" xfId="15891"/>
    <cellStyle name="40% - Accent5 2 2 3 2 4" xfId="2965"/>
    <cellStyle name="40% - Accent5 2 2 3 2 4 2" xfId="11964"/>
    <cellStyle name="40% - Accent5 2 2 3 2 4 2 2" xfId="19780"/>
    <cellStyle name="40% - Accent5 2 2 3 2 4 3" xfId="15893"/>
    <cellStyle name="40% - Accent5 2 2 3 2 5" xfId="11959"/>
    <cellStyle name="40% - Accent5 2 2 3 2 5 2" xfId="19775"/>
    <cellStyle name="40% - Accent5 2 2 3 2 6" xfId="15888"/>
    <cellStyle name="40% - Accent5 2 2 3 3" xfId="2966"/>
    <cellStyle name="40% - Accent5 2 2 3 3 2" xfId="2967"/>
    <cellStyle name="40% - Accent5 2 2 3 3 2 2" xfId="2968"/>
    <cellStyle name="40% - Accent5 2 2 3 3 2 2 2" xfId="11967"/>
    <cellStyle name="40% - Accent5 2 2 3 3 2 2 2 2" xfId="19783"/>
    <cellStyle name="40% - Accent5 2 2 3 3 2 2 3" xfId="15896"/>
    <cellStyle name="40% - Accent5 2 2 3 3 2 3" xfId="11966"/>
    <cellStyle name="40% - Accent5 2 2 3 3 2 3 2" xfId="19782"/>
    <cellStyle name="40% - Accent5 2 2 3 3 2 4" xfId="15895"/>
    <cellStyle name="40% - Accent5 2 2 3 3 3" xfId="2969"/>
    <cellStyle name="40% - Accent5 2 2 3 3 3 2" xfId="11968"/>
    <cellStyle name="40% - Accent5 2 2 3 3 3 2 2" xfId="19784"/>
    <cellStyle name="40% - Accent5 2 2 3 3 3 3" xfId="15897"/>
    <cellStyle name="40% - Accent5 2 2 3 3 4" xfId="11965"/>
    <cellStyle name="40% - Accent5 2 2 3 3 4 2" xfId="19781"/>
    <cellStyle name="40% - Accent5 2 2 3 3 5" xfId="15894"/>
    <cellStyle name="40% - Accent5 2 2 3 4" xfId="2970"/>
    <cellStyle name="40% - Accent5 2 2 3 4 2" xfId="2971"/>
    <cellStyle name="40% - Accent5 2 2 3 4 2 2" xfId="11970"/>
    <cellStyle name="40% - Accent5 2 2 3 4 2 2 2" xfId="19786"/>
    <cellStyle name="40% - Accent5 2 2 3 4 2 3" xfId="15899"/>
    <cellStyle name="40% - Accent5 2 2 3 4 3" xfId="11969"/>
    <cellStyle name="40% - Accent5 2 2 3 4 3 2" xfId="19785"/>
    <cellStyle name="40% - Accent5 2 2 3 4 4" xfId="15898"/>
    <cellStyle name="40% - Accent5 2 2 3 5" xfId="2972"/>
    <cellStyle name="40% - Accent5 2 2 3 5 2" xfId="11971"/>
    <cellStyle name="40% - Accent5 2 2 3 5 2 2" xfId="19787"/>
    <cellStyle name="40% - Accent5 2 2 3 5 3" xfId="15900"/>
    <cellStyle name="40% - Accent5 2 2 3 6" xfId="11958"/>
    <cellStyle name="40% - Accent5 2 2 3 6 2" xfId="19774"/>
    <cellStyle name="40% - Accent5 2 2 3 7" xfId="15887"/>
    <cellStyle name="40% - Accent5 2 2 4" xfId="2973"/>
    <cellStyle name="40% - Accent5 2 2 4 2" xfId="2974"/>
    <cellStyle name="40% - Accent5 2 2 4 2 2" xfId="2975"/>
    <cellStyle name="40% - Accent5 2 2 4 2 2 2" xfId="2976"/>
    <cellStyle name="40% - Accent5 2 2 4 2 2 2 2" xfId="11975"/>
    <cellStyle name="40% - Accent5 2 2 4 2 2 2 2 2" xfId="19791"/>
    <cellStyle name="40% - Accent5 2 2 4 2 2 2 3" xfId="15904"/>
    <cellStyle name="40% - Accent5 2 2 4 2 2 3" xfId="11974"/>
    <cellStyle name="40% - Accent5 2 2 4 2 2 3 2" xfId="19790"/>
    <cellStyle name="40% - Accent5 2 2 4 2 2 4" xfId="15903"/>
    <cellStyle name="40% - Accent5 2 2 4 2 3" xfId="2977"/>
    <cellStyle name="40% - Accent5 2 2 4 2 3 2" xfId="11976"/>
    <cellStyle name="40% - Accent5 2 2 4 2 3 2 2" xfId="19792"/>
    <cellStyle name="40% - Accent5 2 2 4 2 3 3" xfId="15905"/>
    <cellStyle name="40% - Accent5 2 2 4 2 4" xfId="11973"/>
    <cellStyle name="40% - Accent5 2 2 4 2 4 2" xfId="19789"/>
    <cellStyle name="40% - Accent5 2 2 4 2 5" xfId="15902"/>
    <cellStyle name="40% - Accent5 2 2 4 3" xfId="2978"/>
    <cellStyle name="40% - Accent5 2 2 4 3 2" xfId="2979"/>
    <cellStyle name="40% - Accent5 2 2 4 3 2 2" xfId="11978"/>
    <cellStyle name="40% - Accent5 2 2 4 3 2 2 2" xfId="19794"/>
    <cellStyle name="40% - Accent5 2 2 4 3 2 3" xfId="15907"/>
    <cellStyle name="40% - Accent5 2 2 4 3 3" xfId="11977"/>
    <cellStyle name="40% - Accent5 2 2 4 3 3 2" xfId="19793"/>
    <cellStyle name="40% - Accent5 2 2 4 3 4" xfId="15906"/>
    <cellStyle name="40% - Accent5 2 2 4 4" xfId="2980"/>
    <cellStyle name="40% - Accent5 2 2 4 4 2" xfId="11979"/>
    <cellStyle name="40% - Accent5 2 2 4 4 2 2" xfId="19795"/>
    <cellStyle name="40% - Accent5 2 2 4 4 3" xfId="15908"/>
    <cellStyle name="40% - Accent5 2 2 4 5" xfId="11972"/>
    <cellStyle name="40% - Accent5 2 2 4 5 2" xfId="19788"/>
    <cellStyle name="40% - Accent5 2 2 4 6" xfId="15901"/>
    <cellStyle name="40% - Accent5 2 2 5" xfId="2981"/>
    <cellStyle name="40% - Accent5 2 2 5 2" xfId="2982"/>
    <cellStyle name="40% - Accent5 2 2 5 2 2" xfId="2983"/>
    <cellStyle name="40% - Accent5 2 2 5 2 2 2" xfId="2984"/>
    <cellStyle name="40% - Accent5 2 2 5 2 2 2 2" xfId="11983"/>
    <cellStyle name="40% - Accent5 2 2 5 2 2 2 2 2" xfId="19799"/>
    <cellStyle name="40% - Accent5 2 2 5 2 2 2 3" xfId="15912"/>
    <cellStyle name="40% - Accent5 2 2 5 2 2 3" xfId="11982"/>
    <cellStyle name="40% - Accent5 2 2 5 2 2 3 2" xfId="19798"/>
    <cellStyle name="40% - Accent5 2 2 5 2 2 4" xfId="15911"/>
    <cellStyle name="40% - Accent5 2 2 5 2 3" xfId="2985"/>
    <cellStyle name="40% - Accent5 2 2 5 2 3 2" xfId="11984"/>
    <cellStyle name="40% - Accent5 2 2 5 2 3 2 2" xfId="19800"/>
    <cellStyle name="40% - Accent5 2 2 5 2 3 3" xfId="15913"/>
    <cellStyle name="40% - Accent5 2 2 5 2 4" xfId="11981"/>
    <cellStyle name="40% - Accent5 2 2 5 2 4 2" xfId="19797"/>
    <cellStyle name="40% - Accent5 2 2 5 2 5" xfId="15910"/>
    <cellStyle name="40% - Accent5 2 2 5 3" xfId="2986"/>
    <cellStyle name="40% - Accent5 2 2 5 3 2" xfId="2987"/>
    <cellStyle name="40% - Accent5 2 2 5 3 2 2" xfId="11986"/>
    <cellStyle name="40% - Accent5 2 2 5 3 2 2 2" xfId="19802"/>
    <cellStyle name="40% - Accent5 2 2 5 3 2 3" xfId="15915"/>
    <cellStyle name="40% - Accent5 2 2 5 3 3" xfId="11985"/>
    <cellStyle name="40% - Accent5 2 2 5 3 3 2" xfId="19801"/>
    <cellStyle name="40% - Accent5 2 2 5 3 4" xfId="15914"/>
    <cellStyle name="40% - Accent5 2 2 5 4" xfId="2988"/>
    <cellStyle name="40% - Accent5 2 2 5 4 2" xfId="2989"/>
    <cellStyle name="40% - Accent5 2 2 5 4 2 2" xfId="11988"/>
    <cellStyle name="40% - Accent5 2 2 5 4 2 2 2" xfId="19804"/>
    <cellStyle name="40% - Accent5 2 2 5 4 2 3" xfId="15917"/>
    <cellStyle name="40% - Accent5 2 2 5 4 3" xfId="11987"/>
    <cellStyle name="40% - Accent5 2 2 5 4 3 2" xfId="19803"/>
    <cellStyle name="40% - Accent5 2 2 5 4 4" xfId="15916"/>
    <cellStyle name="40% - Accent5 2 2 5 5" xfId="2990"/>
    <cellStyle name="40% - Accent5 2 2 5 5 2" xfId="11989"/>
    <cellStyle name="40% - Accent5 2 2 5 5 2 2" xfId="19805"/>
    <cellStyle name="40% - Accent5 2 2 5 5 3" xfId="15918"/>
    <cellStyle name="40% - Accent5 2 2 5 6" xfId="11980"/>
    <cellStyle name="40% - Accent5 2 2 5 6 2" xfId="19796"/>
    <cellStyle name="40% - Accent5 2 2 5 7" xfId="15909"/>
    <cellStyle name="40% - Accent5 2 2 6" xfId="2991"/>
    <cellStyle name="40% - Accent5 2 2 6 2" xfId="2992"/>
    <cellStyle name="40% - Accent5 2 2 6 2 2" xfId="2993"/>
    <cellStyle name="40% - Accent5 2 2 6 2 2 2" xfId="11992"/>
    <cellStyle name="40% - Accent5 2 2 6 2 2 2 2" xfId="19808"/>
    <cellStyle name="40% - Accent5 2 2 6 2 2 3" xfId="15921"/>
    <cellStyle name="40% - Accent5 2 2 6 2 3" xfId="11991"/>
    <cellStyle name="40% - Accent5 2 2 6 2 3 2" xfId="19807"/>
    <cellStyle name="40% - Accent5 2 2 6 2 4" xfId="15920"/>
    <cellStyle name="40% - Accent5 2 2 6 3" xfId="2994"/>
    <cellStyle name="40% - Accent5 2 2 6 3 2" xfId="11993"/>
    <cellStyle name="40% - Accent5 2 2 6 3 2 2" xfId="19809"/>
    <cellStyle name="40% - Accent5 2 2 6 3 3" xfId="15922"/>
    <cellStyle name="40% - Accent5 2 2 6 4" xfId="11990"/>
    <cellStyle name="40% - Accent5 2 2 6 4 2" xfId="19806"/>
    <cellStyle name="40% - Accent5 2 2 6 5" xfId="15919"/>
    <cellStyle name="40% - Accent5 2 2 7" xfId="2995"/>
    <cellStyle name="40% - Accent5 2 2 7 2" xfId="2996"/>
    <cellStyle name="40% - Accent5 2 2 7 2 2" xfId="11995"/>
    <cellStyle name="40% - Accent5 2 2 7 2 2 2" xfId="19811"/>
    <cellStyle name="40% - Accent5 2 2 7 2 3" xfId="15924"/>
    <cellStyle name="40% - Accent5 2 2 7 3" xfId="11994"/>
    <cellStyle name="40% - Accent5 2 2 7 3 2" xfId="19810"/>
    <cellStyle name="40% - Accent5 2 2 7 4" xfId="15923"/>
    <cellStyle name="40% - Accent5 2 2 8" xfId="2997"/>
    <cellStyle name="40% - Accent5 2 2 8 2" xfId="11996"/>
    <cellStyle name="40% - Accent5 2 2 8 2 2" xfId="19812"/>
    <cellStyle name="40% - Accent5 2 2 8 3" xfId="15925"/>
    <cellStyle name="40% - Accent5 2 2 9" xfId="11925"/>
    <cellStyle name="40% - Accent5 2 2 9 2" xfId="19741"/>
    <cellStyle name="40% - Accent5 2 3" xfId="2998"/>
    <cellStyle name="40% - Accent5 2 3 2" xfId="2999"/>
    <cellStyle name="40% - Accent5 2 3 2 2" xfId="3000"/>
    <cellStyle name="40% - Accent5 2 3 2 2 2" xfId="3001"/>
    <cellStyle name="40% - Accent5 2 3 2 2 2 2" xfId="3002"/>
    <cellStyle name="40% - Accent5 2 3 2 2 2 2 2" xfId="12001"/>
    <cellStyle name="40% - Accent5 2 3 2 2 2 2 2 2" xfId="19817"/>
    <cellStyle name="40% - Accent5 2 3 2 2 2 2 3" xfId="15930"/>
    <cellStyle name="40% - Accent5 2 3 2 2 2 3" xfId="12000"/>
    <cellStyle name="40% - Accent5 2 3 2 2 2 3 2" xfId="19816"/>
    <cellStyle name="40% - Accent5 2 3 2 2 2 4" xfId="15929"/>
    <cellStyle name="40% - Accent5 2 3 2 2 3" xfId="3003"/>
    <cellStyle name="40% - Accent5 2 3 2 2 3 2" xfId="3004"/>
    <cellStyle name="40% - Accent5 2 3 2 2 3 2 2" xfId="12003"/>
    <cellStyle name="40% - Accent5 2 3 2 2 3 2 2 2" xfId="19819"/>
    <cellStyle name="40% - Accent5 2 3 2 2 3 2 3" xfId="15932"/>
    <cellStyle name="40% - Accent5 2 3 2 2 3 3" xfId="12002"/>
    <cellStyle name="40% - Accent5 2 3 2 2 3 3 2" xfId="19818"/>
    <cellStyle name="40% - Accent5 2 3 2 2 3 4" xfId="15931"/>
    <cellStyle name="40% - Accent5 2 3 2 2 4" xfId="3005"/>
    <cellStyle name="40% - Accent5 2 3 2 2 4 2" xfId="12004"/>
    <cellStyle name="40% - Accent5 2 3 2 2 4 2 2" xfId="19820"/>
    <cellStyle name="40% - Accent5 2 3 2 2 4 3" xfId="15933"/>
    <cellStyle name="40% - Accent5 2 3 2 2 5" xfId="11999"/>
    <cellStyle name="40% - Accent5 2 3 2 2 5 2" xfId="19815"/>
    <cellStyle name="40% - Accent5 2 3 2 2 6" xfId="15928"/>
    <cellStyle name="40% - Accent5 2 3 2 3" xfId="3006"/>
    <cellStyle name="40% - Accent5 2 3 2 3 2" xfId="3007"/>
    <cellStyle name="40% - Accent5 2 3 2 3 2 2" xfId="3008"/>
    <cellStyle name="40% - Accent5 2 3 2 3 2 2 2" xfId="12007"/>
    <cellStyle name="40% - Accent5 2 3 2 3 2 2 2 2" xfId="19823"/>
    <cellStyle name="40% - Accent5 2 3 2 3 2 2 3" xfId="15936"/>
    <cellStyle name="40% - Accent5 2 3 2 3 2 3" xfId="12006"/>
    <cellStyle name="40% - Accent5 2 3 2 3 2 3 2" xfId="19822"/>
    <cellStyle name="40% - Accent5 2 3 2 3 2 4" xfId="15935"/>
    <cellStyle name="40% - Accent5 2 3 2 3 3" xfId="3009"/>
    <cellStyle name="40% - Accent5 2 3 2 3 3 2" xfId="12008"/>
    <cellStyle name="40% - Accent5 2 3 2 3 3 2 2" xfId="19824"/>
    <cellStyle name="40% - Accent5 2 3 2 3 3 3" xfId="15937"/>
    <cellStyle name="40% - Accent5 2 3 2 3 4" xfId="12005"/>
    <cellStyle name="40% - Accent5 2 3 2 3 4 2" xfId="19821"/>
    <cellStyle name="40% - Accent5 2 3 2 3 5" xfId="15934"/>
    <cellStyle name="40% - Accent5 2 3 2 4" xfId="3010"/>
    <cellStyle name="40% - Accent5 2 3 2 4 2" xfId="3011"/>
    <cellStyle name="40% - Accent5 2 3 2 4 2 2" xfId="12010"/>
    <cellStyle name="40% - Accent5 2 3 2 4 2 2 2" xfId="19826"/>
    <cellStyle name="40% - Accent5 2 3 2 4 2 3" xfId="15939"/>
    <cellStyle name="40% - Accent5 2 3 2 4 3" xfId="12009"/>
    <cellStyle name="40% - Accent5 2 3 2 4 3 2" xfId="19825"/>
    <cellStyle name="40% - Accent5 2 3 2 4 4" xfId="15938"/>
    <cellStyle name="40% - Accent5 2 3 2 5" xfId="3012"/>
    <cellStyle name="40% - Accent5 2 3 2 5 2" xfId="12011"/>
    <cellStyle name="40% - Accent5 2 3 2 5 2 2" xfId="19827"/>
    <cellStyle name="40% - Accent5 2 3 2 5 3" xfId="15940"/>
    <cellStyle name="40% - Accent5 2 3 2 6" xfId="11998"/>
    <cellStyle name="40% - Accent5 2 3 2 6 2" xfId="19814"/>
    <cellStyle name="40% - Accent5 2 3 2 7" xfId="15927"/>
    <cellStyle name="40% - Accent5 2 3 3" xfId="3013"/>
    <cellStyle name="40% - Accent5 2 3 3 2" xfId="3014"/>
    <cellStyle name="40% - Accent5 2 3 3 2 2" xfId="3015"/>
    <cellStyle name="40% - Accent5 2 3 3 2 2 2" xfId="3016"/>
    <cellStyle name="40% - Accent5 2 3 3 2 2 2 2" xfId="12015"/>
    <cellStyle name="40% - Accent5 2 3 3 2 2 2 2 2" xfId="19831"/>
    <cellStyle name="40% - Accent5 2 3 3 2 2 2 3" xfId="15944"/>
    <cellStyle name="40% - Accent5 2 3 3 2 2 3" xfId="12014"/>
    <cellStyle name="40% - Accent5 2 3 3 2 2 3 2" xfId="19830"/>
    <cellStyle name="40% - Accent5 2 3 3 2 2 4" xfId="15943"/>
    <cellStyle name="40% - Accent5 2 3 3 2 3" xfId="3017"/>
    <cellStyle name="40% - Accent5 2 3 3 2 3 2" xfId="12016"/>
    <cellStyle name="40% - Accent5 2 3 3 2 3 2 2" xfId="19832"/>
    <cellStyle name="40% - Accent5 2 3 3 2 3 3" xfId="15945"/>
    <cellStyle name="40% - Accent5 2 3 3 2 4" xfId="12013"/>
    <cellStyle name="40% - Accent5 2 3 3 2 4 2" xfId="19829"/>
    <cellStyle name="40% - Accent5 2 3 3 2 5" xfId="15942"/>
    <cellStyle name="40% - Accent5 2 3 3 3" xfId="3018"/>
    <cellStyle name="40% - Accent5 2 3 3 3 2" xfId="3019"/>
    <cellStyle name="40% - Accent5 2 3 3 3 2 2" xfId="12018"/>
    <cellStyle name="40% - Accent5 2 3 3 3 2 2 2" xfId="19834"/>
    <cellStyle name="40% - Accent5 2 3 3 3 2 3" xfId="15947"/>
    <cellStyle name="40% - Accent5 2 3 3 3 3" xfId="12017"/>
    <cellStyle name="40% - Accent5 2 3 3 3 3 2" xfId="19833"/>
    <cellStyle name="40% - Accent5 2 3 3 3 4" xfId="15946"/>
    <cellStyle name="40% - Accent5 2 3 3 4" xfId="3020"/>
    <cellStyle name="40% - Accent5 2 3 3 4 2" xfId="3021"/>
    <cellStyle name="40% - Accent5 2 3 3 4 2 2" xfId="12020"/>
    <cellStyle name="40% - Accent5 2 3 3 4 2 2 2" xfId="19836"/>
    <cellStyle name="40% - Accent5 2 3 3 4 2 3" xfId="15949"/>
    <cellStyle name="40% - Accent5 2 3 3 4 3" xfId="12019"/>
    <cellStyle name="40% - Accent5 2 3 3 4 3 2" xfId="19835"/>
    <cellStyle name="40% - Accent5 2 3 3 4 4" xfId="15948"/>
    <cellStyle name="40% - Accent5 2 3 3 5" xfId="3022"/>
    <cellStyle name="40% - Accent5 2 3 3 5 2" xfId="12021"/>
    <cellStyle name="40% - Accent5 2 3 3 5 2 2" xfId="19837"/>
    <cellStyle name="40% - Accent5 2 3 3 5 3" xfId="15950"/>
    <cellStyle name="40% - Accent5 2 3 3 6" xfId="12012"/>
    <cellStyle name="40% - Accent5 2 3 3 6 2" xfId="19828"/>
    <cellStyle name="40% - Accent5 2 3 3 7" xfId="15941"/>
    <cellStyle name="40% - Accent5 2 3 4" xfId="3023"/>
    <cellStyle name="40% - Accent5 2 3 4 2" xfId="3024"/>
    <cellStyle name="40% - Accent5 2 3 4 2 2" xfId="3025"/>
    <cellStyle name="40% - Accent5 2 3 4 2 2 2" xfId="12024"/>
    <cellStyle name="40% - Accent5 2 3 4 2 2 2 2" xfId="19840"/>
    <cellStyle name="40% - Accent5 2 3 4 2 2 3" xfId="15953"/>
    <cellStyle name="40% - Accent5 2 3 4 2 3" xfId="12023"/>
    <cellStyle name="40% - Accent5 2 3 4 2 3 2" xfId="19839"/>
    <cellStyle name="40% - Accent5 2 3 4 2 4" xfId="15952"/>
    <cellStyle name="40% - Accent5 2 3 4 3" xfId="3026"/>
    <cellStyle name="40% - Accent5 2 3 4 3 2" xfId="12025"/>
    <cellStyle name="40% - Accent5 2 3 4 3 2 2" xfId="19841"/>
    <cellStyle name="40% - Accent5 2 3 4 3 3" xfId="15954"/>
    <cellStyle name="40% - Accent5 2 3 4 4" xfId="12022"/>
    <cellStyle name="40% - Accent5 2 3 4 4 2" xfId="19838"/>
    <cellStyle name="40% - Accent5 2 3 4 5" xfId="15951"/>
    <cellStyle name="40% - Accent5 2 3 5" xfId="3027"/>
    <cellStyle name="40% - Accent5 2 3 5 2" xfId="3028"/>
    <cellStyle name="40% - Accent5 2 3 5 2 2" xfId="12027"/>
    <cellStyle name="40% - Accent5 2 3 5 2 2 2" xfId="19843"/>
    <cellStyle name="40% - Accent5 2 3 5 2 3" xfId="15956"/>
    <cellStyle name="40% - Accent5 2 3 5 3" xfId="12026"/>
    <cellStyle name="40% - Accent5 2 3 5 3 2" xfId="19842"/>
    <cellStyle name="40% - Accent5 2 3 5 4" xfId="15955"/>
    <cellStyle name="40% - Accent5 2 3 6" xfId="3029"/>
    <cellStyle name="40% - Accent5 2 3 6 2" xfId="12028"/>
    <cellStyle name="40% - Accent5 2 3 6 2 2" xfId="19844"/>
    <cellStyle name="40% - Accent5 2 3 6 3" xfId="15957"/>
    <cellStyle name="40% - Accent5 2 3 7" xfId="11997"/>
    <cellStyle name="40% - Accent5 2 3 7 2" xfId="19813"/>
    <cellStyle name="40% - Accent5 2 3 8" xfId="15926"/>
    <cellStyle name="40% - Accent5 2 4" xfId="3030"/>
    <cellStyle name="40% - Accent5 2 4 2" xfId="3031"/>
    <cellStyle name="40% - Accent5 2 4 2 2" xfId="3032"/>
    <cellStyle name="40% - Accent5 2 4 2 2 2" xfId="3033"/>
    <cellStyle name="40% - Accent5 2 4 2 2 2 2" xfId="12032"/>
    <cellStyle name="40% - Accent5 2 4 2 2 2 2 2" xfId="19848"/>
    <cellStyle name="40% - Accent5 2 4 2 2 2 3" xfId="15961"/>
    <cellStyle name="40% - Accent5 2 4 2 2 3" xfId="12031"/>
    <cellStyle name="40% - Accent5 2 4 2 2 3 2" xfId="19847"/>
    <cellStyle name="40% - Accent5 2 4 2 2 4" xfId="15960"/>
    <cellStyle name="40% - Accent5 2 4 2 3" xfId="3034"/>
    <cellStyle name="40% - Accent5 2 4 2 3 2" xfId="3035"/>
    <cellStyle name="40% - Accent5 2 4 2 3 2 2" xfId="12034"/>
    <cellStyle name="40% - Accent5 2 4 2 3 2 2 2" xfId="19850"/>
    <cellStyle name="40% - Accent5 2 4 2 3 2 3" xfId="15963"/>
    <cellStyle name="40% - Accent5 2 4 2 3 3" xfId="12033"/>
    <cellStyle name="40% - Accent5 2 4 2 3 3 2" xfId="19849"/>
    <cellStyle name="40% - Accent5 2 4 2 3 4" xfId="15962"/>
    <cellStyle name="40% - Accent5 2 4 2 4" xfId="3036"/>
    <cellStyle name="40% - Accent5 2 4 2 4 2" xfId="12035"/>
    <cellStyle name="40% - Accent5 2 4 2 4 2 2" xfId="19851"/>
    <cellStyle name="40% - Accent5 2 4 2 4 3" xfId="15964"/>
    <cellStyle name="40% - Accent5 2 4 2 5" xfId="12030"/>
    <cellStyle name="40% - Accent5 2 4 2 5 2" xfId="19846"/>
    <cellStyle name="40% - Accent5 2 4 2 6" xfId="15959"/>
    <cellStyle name="40% - Accent5 2 4 3" xfId="3037"/>
    <cellStyle name="40% - Accent5 2 4 3 2" xfId="3038"/>
    <cellStyle name="40% - Accent5 2 4 3 2 2" xfId="3039"/>
    <cellStyle name="40% - Accent5 2 4 3 2 2 2" xfId="12038"/>
    <cellStyle name="40% - Accent5 2 4 3 2 2 2 2" xfId="19854"/>
    <cellStyle name="40% - Accent5 2 4 3 2 2 3" xfId="15967"/>
    <cellStyle name="40% - Accent5 2 4 3 2 3" xfId="12037"/>
    <cellStyle name="40% - Accent5 2 4 3 2 3 2" xfId="19853"/>
    <cellStyle name="40% - Accent5 2 4 3 2 4" xfId="15966"/>
    <cellStyle name="40% - Accent5 2 4 3 3" xfId="3040"/>
    <cellStyle name="40% - Accent5 2 4 3 3 2" xfId="12039"/>
    <cellStyle name="40% - Accent5 2 4 3 3 2 2" xfId="19855"/>
    <cellStyle name="40% - Accent5 2 4 3 3 3" xfId="15968"/>
    <cellStyle name="40% - Accent5 2 4 3 4" xfId="12036"/>
    <cellStyle name="40% - Accent5 2 4 3 4 2" xfId="19852"/>
    <cellStyle name="40% - Accent5 2 4 3 5" xfId="15965"/>
    <cellStyle name="40% - Accent5 2 4 4" xfId="3041"/>
    <cellStyle name="40% - Accent5 2 4 4 2" xfId="3042"/>
    <cellStyle name="40% - Accent5 2 4 4 2 2" xfId="12041"/>
    <cellStyle name="40% - Accent5 2 4 4 2 2 2" xfId="19857"/>
    <cellStyle name="40% - Accent5 2 4 4 2 3" xfId="15970"/>
    <cellStyle name="40% - Accent5 2 4 4 3" xfId="12040"/>
    <cellStyle name="40% - Accent5 2 4 4 3 2" xfId="19856"/>
    <cellStyle name="40% - Accent5 2 4 4 4" xfId="15969"/>
    <cellStyle name="40% - Accent5 2 4 5" xfId="3043"/>
    <cellStyle name="40% - Accent5 2 4 5 2" xfId="12042"/>
    <cellStyle name="40% - Accent5 2 4 5 2 2" xfId="19858"/>
    <cellStyle name="40% - Accent5 2 4 5 3" xfId="15971"/>
    <cellStyle name="40% - Accent5 2 4 6" xfId="12029"/>
    <cellStyle name="40% - Accent5 2 4 6 2" xfId="19845"/>
    <cellStyle name="40% - Accent5 2 4 7" xfId="15958"/>
    <cellStyle name="40% - Accent5 2 5" xfId="3044"/>
    <cellStyle name="40% - Accent5 2 5 2" xfId="3045"/>
    <cellStyle name="40% - Accent5 2 5 2 2" xfId="3046"/>
    <cellStyle name="40% - Accent5 2 5 2 2 2" xfId="3047"/>
    <cellStyle name="40% - Accent5 2 5 2 2 2 2" xfId="12046"/>
    <cellStyle name="40% - Accent5 2 5 2 2 2 2 2" xfId="19862"/>
    <cellStyle name="40% - Accent5 2 5 2 2 2 3" xfId="15975"/>
    <cellStyle name="40% - Accent5 2 5 2 2 3" xfId="12045"/>
    <cellStyle name="40% - Accent5 2 5 2 2 3 2" xfId="19861"/>
    <cellStyle name="40% - Accent5 2 5 2 2 4" xfId="15974"/>
    <cellStyle name="40% - Accent5 2 5 2 3" xfId="3048"/>
    <cellStyle name="40% - Accent5 2 5 2 3 2" xfId="12047"/>
    <cellStyle name="40% - Accent5 2 5 2 3 2 2" xfId="19863"/>
    <cellStyle name="40% - Accent5 2 5 2 3 3" xfId="15976"/>
    <cellStyle name="40% - Accent5 2 5 2 4" xfId="12044"/>
    <cellStyle name="40% - Accent5 2 5 2 4 2" xfId="19860"/>
    <cellStyle name="40% - Accent5 2 5 2 5" xfId="15973"/>
    <cellStyle name="40% - Accent5 2 5 3" xfId="3049"/>
    <cellStyle name="40% - Accent5 2 5 3 2" xfId="3050"/>
    <cellStyle name="40% - Accent5 2 5 3 2 2" xfId="12049"/>
    <cellStyle name="40% - Accent5 2 5 3 2 2 2" xfId="19865"/>
    <cellStyle name="40% - Accent5 2 5 3 2 3" xfId="15978"/>
    <cellStyle name="40% - Accent5 2 5 3 3" xfId="12048"/>
    <cellStyle name="40% - Accent5 2 5 3 3 2" xfId="19864"/>
    <cellStyle name="40% - Accent5 2 5 3 4" xfId="15977"/>
    <cellStyle name="40% - Accent5 2 5 4" xfId="3051"/>
    <cellStyle name="40% - Accent5 2 5 4 2" xfId="12050"/>
    <cellStyle name="40% - Accent5 2 5 4 2 2" xfId="19866"/>
    <cellStyle name="40% - Accent5 2 5 4 3" xfId="15979"/>
    <cellStyle name="40% - Accent5 2 5 5" xfId="12043"/>
    <cellStyle name="40% - Accent5 2 5 5 2" xfId="19859"/>
    <cellStyle name="40% - Accent5 2 5 6" xfId="15972"/>
    <cellStyle name="40% - Accent5 2 6" xfId="3052"/>
    <cellStyle name="40% - Accent5 2 6 2" xfId="3053"/>
    <cellStyle name="40% - Accent5 2 6 2 2" xfId="3054"/>
    <cellStyle name="40% - Accent5 2 6 2 2 2" xfId="3055"/>
    <cellStyle name="40% - Accent5 2 6 2 2 2 2" xfId="12054"/>
    <cellStyle name="40% - Accent5 2 6 2 2 2 2 2" xfId="19870"/>
    <cellStyle name="40% - Accent5 2 6 2 2 2 3" xfId="15983"/>
    <cellStyle name="40% - Accent5 2 6 2 2 3" xfId="12053"/>
    <cellStyle name="40% - Accent5 2 6 2 2 3 2" xfId="19869"/>
    <cellStyle name="40% - Accent5 2 6 2 2 4" xfId="15982"/>
    <cellStyle name="40% - Accent5 2 6 2 3" xfId="3056"/>
    <cellStyle name="40% - Accent5 2 6 2 3 2" xfId="12055"/>
    <cellStyle name="40% - Accent5 2 6 2 3 2 2" xfId="19871"/>
    <cellStyle name="40% - Accent5 2 6 2 3 3" xfId="15984"/>
    <cellStyle name="40% - Accent5 2 6 2 4" xfId="12052"/>
    <cellStyle name="40% - Accent5 2 6 2 4 2" xfId="19868"/>
    <cellStyle name="40% - Accent5 2 6 2 5" xfId="15981"/>
    <cellStyle name="40% - Accent5 2 6 3" xfId="3057"/>
    <cellStyle name="40% - Accent5 2 6 3 2" xfId="3058"/>
    <cellStyle name="40% - Accent5 2 6 3 2 2" xfId="12057"/>
    <cellStyle name="40% - Accent5 2 6 3 2 2 2" xfId="19873"/>
    <cellStyle name="40% - Accent5 2 6 3 2 3" xfId="15986"/>
    <cellStyle name="40% - Accent5 2 6 3 3" xfId="12056"/>
    <cellStyle name="40% - Accent5 2 6 3 3 2" xfId="19872"/>
    <cellStyle name="40% - Accent5 2 6 3 4" xfId="15985"/>
    <cellStyle name="40% - Accent5 2 6 4" xfId="3059"/>
    <cellStyle name="40% - Accent5 2 6 4 2" xfId="12058"/>
    <cellStyle name="40% - Accent5 2 6 4 2 2" xfId="19874"/>
    <cellStyle name="40% - Accent5 2 6 4 3" xfId="15987"/>
    <cellStyle name="40% - Accent5 2 6 5" xfId="12051"/>
    <cellStyle name="40% - Accent5 2 6 5 2" xfId="19867"/>
    <cellStyle name="40% - Accent5 2 6 6" xfId="15980"/>
    <cellStyle name="40% - Accent5 2 7" xfId="3060"/>
    <cellStyle name="40% - Accent5 2 7 2" xfId="3061"/>
    <cellStyle name="40% - Accent5 2 7 2 2" xfId="3062"/>
    <cellStyle name="40% - Accent5 2 7 2 2 2" xfId="12061"/>
    <cellStyle name="40% - Accent5 2 7 2 2 2 2" xfId="19877"/>
    <cellStyle name="40% - Accent5 2 7 2 2 3" xfId="15990"/>
    <cellStyle name="40% - Accent5 2 7 2 3" xfId="12060"/>
    <cellStyle name="40% - Accent5 2 7 2 3 2" xfId="19876"/>
    <cellStyle name="40% - Accent5 2 7 2 4" xfId="15989"/>
    <cellStyle name="40% - Accent5 2 7 3" xfId="3063"/>
    <cellStyle name="40% - Accent5 2 7 3 2" xfId="12062"/>
    <cellStyle name="40% - Accent5 2 7 3 2 2" xfId="19878"/>
    <cellStyle name="40% - Accent5 2 7 3 3" xfId="15991"/>
    <cellStyle name="40% - Accent5 2 7 4" xfId="12059"/>
    <cellStyle name="40% - Accent5 2 7 4 2" xfId="19875"/>
    <cellStyle name="40% - Accent5 2 7 5" xfId="15988"/>
    <cellStyle name="40% - Accent5 2 8" xfId="3064"/>
    <cellStyle name="40% - Accent5 2 8 2" xfId="3065"/>
    <cellStyle name="40% - Accent5 2 8 2 2" xfId="12064"/>
    <cellStyle name="40% - Accent5 2 8 2 2 2" xfId="19880"/>
    <cellStyle name="40% - Accent5 2 8 2 3" xfId="15993"/>
    <cellStyle name="40% - Accent5 2 8 3" xfId="12063"/>
    <cellStyle name="40% - Accent5 2 8 3 2" xfId="19879"/>
    <cellStyle name="40% - Accent5 2 8 4" xfId="15992"/>
    <cellStyle name="40% - Accent5 2 9" xfId="3066"/>
    <cellStyle name="40% - Accent5 2 9 2" xfId="3067"/>
    <cellStyle name="40% - Accent5 2 9 2 2" xfId="12066"/>
    <cellStyle name="40% - Accent5 2 9 2 2 2" xfId="19882"/>
    <cellStyle name="40% - Accent5 2 9 2 3" xfId="15995"/>
    <cellStyle name="40% - Accent5 2 9 3" xfId="12065"/>
    <cellStyle name="40% - Accent5 2 9 3 2" xfId="19881"/>
    <cellStyle name="40% - Accent5 2 9 4" xfId="15994"/>
    <cellStyle name="40% - Accent5 3" xfId="3068"/>
    <cellStyle name="40% - Accent5 3 2" xfId="3069"/>
    <cellStyle name="40% - Accent5 3 2 2" xfId="3070"/>
    <cellStyle name="40% - Accent5 3 2 2 2" xfId="3071"/>
    <cellStyle name="40% - Accent5 3 2 2 2 2" xfId="3072"/>
    <cellStyle name="40% - Accent5 3 2 2 2 2 2" xfId="3073"/>
    <cellStyle name="40% - Accent5 3 2 2 2 2 2 2" xfId="12071"/>
    <cellStyle name="40% - Accent5 3 2 2 2 2 2 2 2" xfId="19887"/>
    <cellStyle name="40% - Accent5 3 2 2 2 2 2 3" xfId="16000"/>
    <cellStyle name="40% - Accent5 3 2 2 2 2 3" xfId="12070"/>
    <cellStyle name="40% - Accent5 3 2 2 2 2 3 2" xfId="19886"/>
    <cellStyle name="40% - Accent5 3 2 2 2 2 4" xfId="15999"/>
    <cellStyle name="40% - Accent5 3 2 2 2 3" xfId="3074"/>
    <cellStyle name="40% - Accent5 3 2 2 2 3 2" xfId="3075"/>
    <cellStyle name="40% - Accent5 3 2 2 2 3 2 2" xfId="12073"/>
    <cellStyle name="40% - Accent5 3 2 2 2 3 2 2 2" xfId="19889"/>
    <cellStyle name="40% - Accent5 3 2 2 2 3 2 3" xfId="16002"/>
    <cellStyle name="40% - Accent5 3 2 2 2 3 3" xfId="12072"/>
    <cellStyle name="40% - Accent5 3 2 2 2 3 3 2" xfId="19888"/>
    <cellStyle name="40% - Accent5 3 2 2 2 3 4" xfId="16001"/>
    <cellStyle name="40% - Accent5 3 2 2 2 4" xfId="3076"/>
    <cellStyle name="40% - Accent5 3 2 2 2 4 2" xfId="12074"/>
    <cellStyle name="40% - Accent5 3 2 2 2 4 2 2" xfId="19890"/>
    <cellStyle name="40% - Accent5 3 2 2 2 4 3" xfId="16003"/>
    <cellStyle name="40% - Accent5 3 2 2 2 5" xfId="12069"/>
    <cellStyle name="40% - Accent5 3 2 2 2 5 2" xfId="19885"/>
    <cellStyle name="40% - Accent5 3 2 2 2 6" xfId="15998"/>
    <cellStyle name="40% - Accent5 3 2 2 3" xfId="3077"/>
    <cellStyle name="40% - Accent5 3 2 2 3 2" xfId="3078"/>
    <cellStyle name="40% - Accent5 3 2 2 3 2 2" xfId="3079"/>
    <cellStyle name="40% - Accent5 3 2 2 3 2 2 2" xfId="12077"/>
    <cellStyle name="40% - Accent5 3 2 2 3 2 2 2 2" xfId="19893"/>
    <cellStyle name="40% - Accent5 3 2 2 3 2 2 3" xfId="16006"/>
    <cellStyle name="40% - Accent5 3 2 2 3 2 3" xfId="12076"/>
    <cellStyle name="40% - Accent5 3 2 2 3 2 3 2" xfId="19892"/>
    <cellStyle name="40% - Accent5 3 2 2 3 2 4" xfId="16005"/>
    <cellStyle name="40% - Accent5 3 2 2 3 3" xfId="3080"/>
    <cellStyle name="40% - Accent5 3 2 2 3 3 2" xfId="12078"/>
    <cellStyle name="40% - Accent5 3 2 2 3 3 2 2" xfId="19894"/>
    <cellStyle name="40% - Accent5 3 2 2 3 3 3" xfId="16007"/>
    <cellStyle name="40% - Accent5 3 2 2 3 4" xfId="12075"/>
    <cellStyle name="40% - Accent5 3 2 2 3 4 2" xfId="19891"/>
    <cellStyle name="40% - Accent5 3 2 2 3 5" xfId="16004"/>
    <cellStyle name="40% - Accent5 3 2 2 4" xfId="3081"/>
    <cellStyle name="40% - Accent5 3 2 2 4 2" xfId="3082"/>
    <cellStyle name="40% - Accent5 3 2 2 4 2 2" xfId="12080"/>
    <cellStyle name="40% - Accent5 3 2 2 4 2 2 2" xfId="19896"/>
    <cellStyle name="40% - Accent5 3 2 2 4 2 3" xfId="16009"/>
    <cellStyle name="40% - Accent5 3 2 2 4 3" xfId="12079"/>
    <cellStyle name="40% - Accent5 3 2 2 4 3 2" xfId="19895"/>
    <cellStyle name="40% - Accent5 3 2 2 4 4" xfId="16008"/>
    <cellStyle name="40% - Accent5 3 2 2 5" xfId="3083"/>
    <cellStyle name="40% - Accent5 3 2 2 5 2" xfId="12081"/>
    <cellStyle name="40% - Accent5 3 2 2 5 2 2" xfId="19897"/>
    <cellStyle name="40% - Accent5 3 2 2 5 3" xfId="16010"/>
    <cellStyle name="40% - Accent5 3 2 2 6" xfId="12068"/>
    <cellStyle name="40% - Accent5 3 2 2 6 2" xfId="19884"/>
    <cellStyle name="40% - Accent5 3 2 2 7" xfId="15997"/>
    <cellStyle name="40% - Accent5 3 2 3" xfId="3084"/>
    <cellStyle name="40% - Accent5 3 2 3 2" xfId="3085"/>
    <cellStyle name="40% - Accent5 3 2 3 2 2" xfId="3086"/>
    <cellStyle name="40% - Accent5 3 2 3 2 2 2" xfId="3087"/>
    <cellStyle name="40% - Accent5 3 2 3 2 2 2 2" xfId="12085"/>
    <cellStyle name="40% - Accent5 3 2 3 2 2 2 2 2" xfId="19901"/>
    <cellStyle name="40% - Accent5 3 2 3 2 2 2 3" xfId="16014"/>
    <cellStyle name="40% - Accent5 3 2 3 2 2 3" xfId="12084"/>
    <cellStyle name="40% - Accent5 3 2 3 2 2 3 2" xfId="19900"/>
    <cellStyle name="40% - Accent5 3 2 3 2 2 4" xfId="16013"/>
    <cellStyle name="40% - Accent5 3 2 3 2 3" xfId="3088"/>
    <cellStyle name="40% - Accent5 3 2 3 2 3 2" xfId="12086"/>
    <cellStyle name="40% - Accent5 3 2 3 2 3 2 2" xfId="19902"/>
    <cellStyle name="40% - Accent5 3 2 3 2 3 3" xfId="16015"/>
    <cellStyle name="40% - Accent5 3 2 3 2 4" xfId="12083"/>
    <cellStyle name="40% - Accent5 3 2 3 2 4 2" xfId="19899"/>
    <cellStyle name="40% - Accent5 3 2 3 2 5" xfId="16012"/>
    <cellStyle name="40% - Accent5 3 2 3 3" xfId="3089"/>
    <cellStyle name="40% - Accent5 3 2 3 3 2" xfId="3090"/>
    <cellStyle name="40% - Accent5 3 2 3 3 2 2" xfId="12088"/>
    <cellStyle name="40% - Accent5 3 2 3 3 2 2 2" xfId="19904"/>
    <cellStyle name="40% - Accent5 3 2 3 3 2 3" xfId="16017"/>
    <cellStyle name="40% - Accent5 3 2 3 3 3" xfId="12087"/>
    <cellStyle name="40% - Accent5 3 2 3 3 3 2" xfId="19903"/>
    <cellStyle name="40% - Accent5 3 2 3 3 4" xfId="16016"/>
    <cellStyle name="40% - Accent5 3 2 3 4" xfId="3091"/>
    <cellStyle name="40% - Accent5 3 2 3 4 2" xfId="3092"/>
    <cellStyle name="40% - Accent5 3 2 3 4 2 2" xfId="12090"/>
    <cellStyle name="40% - Accent5 3 2 3 4 2 2 2" xfId="19906"/>
    <cellStyle name="40% - Accent5 3 2 3 4 2 3" xfId="16019"/>
    <cellStyle name="40% - Accent5 3 2 3 4 3" xfId="12089"/>
    <cellStyle name="40% - Accent5 3 2 3 4 3 2" xfId="19905"/>
    <cellStyle name="40% - Accent5 3 2 3 4 4" xfId="16018"/>
    <cellStyle name="40% - Accent5 3 2 3 5" xfId="3093"/>
    <cellStyle name="40% - Accent5 3 2 3 5 2" xfId="12091"/>
    <cellStyle name="40% - Accent5 3 2 3 5 2 2" xfId="19907"/>
    <cellStyle name="40% - Accent5 3 2 3 5 3" xfId="16020"/>
    <cellStyle name="40% - Accent5 3 2 3 6" xfId="12082"/>
    <cellStyle name="40% - Accent5 3 2 3 6 2" xfId="19898"/>
    <cellStyle name="40% - Accent5 3 2 3 7" xfId="16011"/>
    <cellStyle name="40% - Accent5 3 2 4" xfId="3094"/>
    <cellStyle name="40% - Accent5 3 2 4 2" xfId="3095"/>
    <cellStyle name="40% - Accent5 3 2 4 2 2" xfId="3096"/>
    <cellStyle name="40% - Accent5 3 2 4 2 2 2" xfId="12094"/>
    <cellStyle name="40% - Accent5 3 2 4 2 2 2 2" xfId="19910"/>
    <cellStyle name="40% - Accent5 3 2 4 2 2 3" xfId="16023"/>
    <cellStyle name="40% - Accent5 3 2 4 2 3" xfId="12093"/>
    <cellStyle name="40% - Accent5 3 2 4 2 3 2" xfId="19909"/>
    <cellStyle name="40% - Accent5 3 2 4 2 4" xfId="16022"/>
    <cellStyle name="40% - Accent5 3 2 4 3" xfId="3097"/>
    <cellStyle name="40% - Accent5 3 2 4 3 2" xfId="12095"/>
    <cellStyle name="40% - Accent5 3 2 4 3 2 2" xfId="19911"/>
    <cellStyle name="40% - Accent5 3 2 4 3 3" xfId="16024"/>
    <cellStyle name="40% - Accent5 3 2 4 4" xfId="12092"/>
    <cellStyle name="40% - Accent5 3 2 4 4 2" xfId="19908"/>
    <cellStyle name="40% - Accent5 3 2 4 5" xfId="16021"/>
    <cellStyle name="40% - Accent5 3 2 5" xfId="3098"/>
    <cellStyle name="40% - Accent5 3 2 5 2" xfId="3099"/>
    <cellStyle name="40% - Accent5 3 2 5 2 2" xfId="12097"/>
    <cellStyle name="40% - Accent5 3 2 5 2 2 2" xfId="19913"/>
    <cellStyle name="40% - Accent5 3 2 5 2 3" xfId="16026"/>
    <cellStyle name="40% - Accent5 3 2 5 3" xfId="12096"/>
    <cellStyle name="40% - Accent5 3 2 5 3 2" xfId="19912"/>
    <cellStyle name="40% - Accent5 3 2 5 4" xfId="16025"/>
    <cellStyle name="40% - Accent5 3 2 6" xfId="3100"/>
    <cellStyle name="40% - Accent5 3 2 6 2" xfId="12098"/>
    <cellStyle name="40% - Accent5 3 2 6 2 2" xfId="19914"/>
    <cellStyle name="40% - Accent5 3 2 6 3" xfId="16027"/>
    <cellStyle name="40% - Accent5 3 2 7" xfId="12067"/>
    <cellStyle name="40% - Accent5 3 2 7 2" xfId="19883"/>
    <cellStyle name="40% - Accent5 3 2 8" xfId="15996"/>
    <cellStyle name="40% - Accent5 3 3" xfId="3101"/>
    <cellStyle name="40% - Accent5 3 3 2" xfId="3102"/>
    <cellStyle name="40% - Accent5 3 3 2 2" xfId="3103"/>
    <cellStyle name="40% - Accent5 3 3 2 2 2" xfId="3104"/>
    <cellStyle name="40% - Accent5 3 3 2 2 2 2" xfId="12102"/>
    <cellStyle name="40% - Accent5 3 3 2 2 2 2 2" xfId="19918"/>
    <cellStyle name="40% - Accent5 3 3 2 2 2 3" xfId="16031"/>
    <cellStyle name="40% - Accent5 3 3 2 2 3" xfId="12101"/>
    <cellStyle name="40% - Accent5 3 3 2 2 3 2" xfId="19917"/>
    <cellStyle name="40% - Accent5 3 3 2 2 4" xfId="16030"/>
    <cellStyle name="40% - Accent5 3 3 2 3" xfId="3105"/>
    <cellStyle name="40% - Accent5 3 3 2 3 2" xfId="3106"/>
    <cellStyle name="40% - Accent5 3 3 2 3 2 2" xfId="12104"/>
    <cellStyle name="40% - Accent5 3 3 2 3 2 2 2" xfId="19920"/>
    <cellStyle name="40% - Accent5 3 3 2 3 2 3" xfId="16033"/>
    <cellStyle name="40% - Accent5 3 3 2 3 3" xfId="12103"/>
    <cellStyle name="40% - Accent5 3 3 2 3 3 2" xfId="19919"/>
    <cellStyle name="40% - Accent5 3 3 2 3 4" xfId="16032"/>
    <cellStyle name="40% - Accent5 3 3 2 4" xfId="3107"/>
    <cellStyle name="40% - Accent5 3 3 2 4 2" xfId="12105"/>
    <cellStyle name="40% - Accent5 3 3 2 4 2 2" xfId="19921"/>
    <cellStyle name="40% - Accent5 3 3 2 4 3" xfId="16034"/>
    <cellStyle name="40% - Accent5 3 3 2 5" xfId="12100"/>
    <cellStyle name="40% - Accent5 3 3 2 5 2" xfId="19916"/>
    <cellStyle name="40% - Accent5 3 3 2 6" xfId="16029"/>
    <cellStyle name="40% - Accent5 3 3 3" xfId="3108"/>
    <cellStyle name="40% - Accent5 3 3 3 2" xfId="3109"/>
    <cellStyle name="40% - Accent5 3 3 3 2 2" xfId="3110"/>
    <cellStyle name="40% - Accent5 3 3 3 2 2 2" xfId="12108"/>
    <cellStyle name="40% - Accent5 3 3 3 2 2 2 2" xfId="19924"/>
    <cellStyle name="40% - Accent5 3 3 3 2 2 3" xfId="16037"/>
    <cellStyle name="40% - Accent5 3 3 3 2 3" xfId="12107"/>
    <cellStyle name="40% - Accent5 3 3 3 2 3 2" xfId="19923"/>
    <cellStyle name="40% - Accent5 3 3 3 2 4" xfId="16036"/>
    <cellStyle name="40% - Accent5 3 3 3 3" xfId="3111"/>
    <cellStyle name="40% - Accent5 3 3 3 3 2" xfId="12109"/>
    <cellStyle name="40% - Accent5 3 3 3 3 2 2" xfId="19925"/>
    <cellStyle name="40% - Accent5 3 3 3 3 3" xfId="16038"/>
    <cellStyle name="40% - Accent5 3 3 3 4" xfId="12106"/>
    <cellStyle name="40% - Accent5 3 3 3 4 2" xfId="19922"/>
    <cellStyle name="40% - Accent5 3 3 3 5" xfId="16035"/>
    <cellStyle name="40% - Accent5 3 3 4" xfId="3112"/>
    <cellStyle name="40% - Accent5 3 3 4 2" xfId="3113"/>
    <cellStyle name="40% - Accent5 3 3 4 2 2" xfId="12111"/>
    <cellStyle name="40% - Accent5 3 3 4 2 2 2" xfId="19927"/>
    <cellStyle name="40% - Accent5 3 3 4 2 3" xfId="16040"/>
    <cellStyle name="40% - Accent5 3 3 4 3" xfId="12110"/>
    <cellStyle name="40% - Accent5 3 3 4 3 2" xfId="19926"/>
    <cellStyle name="40% - Accent5 3 3 4 4" xfId="16039"/>
    <cellStyle name="40% - Accent5 3 3 5" xfId="3114"/>
    <cellStyle name="40% - Accent5 3 3 5 2" xfId="12112"/>
    <cellStyle name="40% - Accent5 3 3 5 2 2" xfId="19928"/>
    <cellStyle name="40% - Accent5 3 3 5 3" xfId="16041"/>
    <cellStyle name="40% - Accent5 3 3 6" xfId="12099"/>
    <cellStyle name="40% - Accent5 3 3 6 2" xfId="19915"/>
    <cellStyle name="40% - Accent5 3 3 7" xfId="16028"/>
    <cellStyle name="40% - Accent5 3 4" xfId="3115"/>
    <cellStyle name="40% - Accent5 3 4 2" xfId="3116"/>
    <cellStyle name="40% - Accent5 3 4 2 2" xfId="3117"/>
    <cellStyle name="40% - Accent5 3 4 2 2 2" xfId="3118"/>
    <cellStyle name="40% - Accent5 3 4 2 2 2 2" xfId="12116"/>
    <cellStyle name="40% - Accent5 3 4 2 2 2 2 2" xfId="19932"/>
    <cellStyle name="40% - Accent5 3 4 2 2 2 3" xfId="16045"/>
    <cellStyle name="40% - Accent5 3 4 2 2 3" xfId="12115"/>
    <cellStyle name="40% - Accent5 3 4 2 2 3 2" xfId="19931"/>
    <cellStyle name="40% - Accent5 3 4 2 2 4" xfId="16044"/>
    <cellStyle name="40% - Accent5 3 4 2 3" xfId="3119"/>
    <cellStyle name="40% - Accent5 3 4 2 3 2" xfId="12117"/>
    <cellStyle name="40% - Accent5 3 4 2 3 2 2" xfId="19933"/>
    <cellStyle name="40% - Accent5 3 4 2 3 3" xfId="16046"/>
    <cellStyle name="40% - Accent5 3 4 2 4" xfId="12114"/>
    <cellStyle name="40% - Accent5 3 4 2 4 2" xfId="19930"/>
    <cellStyle name="40% - Accent5 3 4 2 5" xfId="16043"/>
    <cellStyle name="40% - Accent5 3 4 3" xfId="3120"/>
    <cellStyle name="40% - Accent5 3 4 3 2" xfId="3121"/>
    <cellStyle name="40% - Accent5 3 4 3 2 2" xfId="12119"/>
    <cellStyle name="40% - Accent5 3 4 3 2 2 2" xfId="19935"/>
    <cellStyle name="40% - Accent5 3 4 3 2 3" xfId="16048"/>
    <cellStyle name="40% - Accent5 3 4 3 3" xfId="12118"/>
    <cellStyle name="40% - Accent5 3 4 3 3 2" xfId="19934"/>
    <cellStyle name="40% - Accent5 3 4 3 4" xfId="16047"/>
    <cellStyle name="40% - Accent5 3 4 4" xfId="3122"/>
    <cellStyle name="40% - Accent5 3 4 4 2" xfId="12120"/>
    <cellStyle name="40% - Accent5 3 4 4 2 2" xfId="19936"/>
    <cellStyle name="40% - Accent5 3 4 4 3" xfId="16049"/>
    <cellStyle name="40% - Accent5 3 4 5" xfId="12113"/>
    <cellStyle name="40% - Accent5 3 4 5 2" xfId="19929"/>
    <cellStyle name="40% - Accent5 3 4 6" xfId="16042"/>
    <cellStyle name="40% - Accent5 3 5" xfId="3123"/>
    <cellStyle name="40% - Accent5 3 5 2" xfId="3124"/>
    <cellStyle name="40% - Accent5 3 5 2 2" xfId="3125"/>
    <cellStyle name="40% - Accent5 3 5 2 2 2" xfId="3126"/>
    <cellStyle name="40% - Accent5 3 5 2 2 2 2" xfId="12124"/>
    <cellStyle name="40% - Accent5 3 5 2 2 2 2 2" xfId="19940"/>
    <cellStyle name="40% - Accent5 3 5 2 2 2 3" xfId="16053"/>
    <cellStyle name="40% - Accent5 3 5 2 2 3" xfId="12123"/>
    <cellStyle name="40% - Accent5 3 5 2 2 3 2" xfId="19939"/>
    <cellStyle name="40% - Accent5 3 5 2 2 4" xfId="16052"/>
    <cellStyle name="40% - Accent5 3 5 2 3" xfId="3127"/>
    <cellStyle name="40% - Accent5 3 5 2 3 2" xfId="12125"/>
    <cellStyle name="40% - Accent5 3 5 2 3 2 2" xfId="19941"/>
    <cellStyle name="40% - Accent5 3 5 2 3 3" xfId="16054"/>
    <cellStyle name="40% - Accent5 3 5 2 4" xfId="12122"/>
    <cellStyle name="40% - Accent5 3 5 2 4 2" xfId="19938"/>
    <cellStyle name="40% - Accent5 3 5 2 5" xfId="16051"/>
    <cellStyle name="40% - Accent5 3 5 3" xfId="3128"/>
    <cellStyle name="40% - Accent5 3 5 3 2" xfId="3129"/>
    <cellStyle name="40% - Accent5 3 5 3 2 2" xfId="12127"/>
    <cellStyle name="40% - Accent5 3 5 3 2 2 2" xfId="19943"/>
    <cellStyle name="40% - Accent5 3 5 3 2 3" xfId="16056"/>
    <cellStyle name="40% - Accent5 3 5 3 3" xfId="12126"/>
    <cellStyle name="40% - Accent5 3 5 3 3 2" xfId="19942"/>
    <cellStyle name="40% - Accent5 3 5 3 4" xfId="16055"/>
    <cellStyle name="40% - Accent5 3 5 4" xfId="3130"/>
    <cellStyle name="40% - Accent5 3 5 4 2" xfId="3131"/>
    <cellStyle name="40% - Accent5 3 5 4 2 2" xfId="12129"/>
    <cellStyle name="40% - Accent5 3 5 4 2 2 2" xfId="19945"/>
    <cellStyle name="40% - Accent5 3 5 4 2 3" xfId="16058"/>
    <cellStyle name="40% - Accent5 3 5 4 3" xfId="12128"/>
    <cellStyle name="40% - Accent5 3 5 4 3 2" xfId="19944"/>
    <cellStyle name="40% - Accent5 3 5 4 4" xfId="16057"/>
    <cellStyle name="40% - Accent5 3 5 5" xfId="3132"/>
    <cellStyle name="40% - Accent5 3 5 5 2" xfId="12130"/>
    <cellStyle name="40% - Accent5 3 5 5 2 2" xfId="19946"/>
    <cellStyle name="40% - Accent5 3 5 5 3" xfId="16059"/>
    <cellStyle name="40% - Accent5 3 5 6" xfId="12121"/>
    <cellStyle name="40% - Accent5 3 5 6 2" xfId="19937"/>
    <cellStyle name="40% - Accent5 3 5 7" xfId="16050"/>
    <cellStyle name="40% - Accent5 3 6" xfId="3133"/>
    <cellStyle name="40% - Accent5 3 6 2" xfId="3134"/>
    <cellStyle name="40% - Accent5 3 6 2 2" xfId="3135"/>
    <cellStyle name="40% - Accent5 3 6 2 2 2" xfId="12133"/>
    <cellStyle name="40% - Accent5 3 6 2 2 2 2" xfId="19949"/>
    <cellStyle name="40% - Accent5 3 6 2 2 3" xfId="16062"/>
    <cellStyle name="40% - Accent5 3 6 2 3" xfId="12132"/>
    <cellStyle name="40% - Accent5 3 6 2 3 2" xfId="19948"/>
    <cellStyle name="40% - Accent5 3 6 2 4" xfId="16061"/>
    <cellStyle name="40% - Accent5 3 6 3" xfId="3136"/>
    <cellStyle name="40% - Accent5 3 6 3 2" xfId="12134"/>
    <cellStyle name="40% - Accent5 3 6 3 2 2" xfId="19950"/>
    <cellStyle name="40% - Accent5 3 6 3 3" xfId="16063"/>
    <cellStyle name="40% - Accent5 3 6 4" xfId="12131"/>
    <cellStyle name="40% - Accent5 3 6 4 2" xfId="19947"/>
    <cellStyle name="40% - Accent5 3 6 5" xfId="16060"/>
    <cellStyle name="40% - Accent5 3 7" xfId="3137"/>
    <cellStyle name="40% - Accent5 3 7 2" xfId="3138"/>
    <cellStyle name="40% - Accent5 3 7 2 2" xfId="12136"/>
    <cellStyle name="40% - Accent5 3 7 2 2 2" xfId="19952"/>
    <cellStyle name="40% - Accent5 3 7 2 3" xfId="16065"/>
    <cellStyle name="40% - Accent5 3 7 3" xfId="12135"/>
    <cellStyle name="40% - Accent5 3 7 3 2" xfId="19951"/>
    <cellStyle name="40% - Accent5 3 7 4" xfId="16064"/>
    <cellStyle name="40% - Accent5 3 8" xfId="3139"/>
    <cellStyle name="40% - Accent5 3 8 2" xfId="12137"/>
    <cellStyle name="40% - Accent5 3 8 2 2" xfId="19953"/>
    <cellStyle name="40% - Accent5 3 8 3" xfId="16066"/>
    <cellStyle name="40% - Accent5 3 9" xfId="3140"/>
    <cellStyle name="40% - Accent5 3 9 2" xfId="12138"/>
    <cellStyle name="40% - Accent5 3 9 2 2" xfId="19954"/>
    <cellStyle name="40% - Accent5 3 9 3" xfId="16067"/>
    <cellStyle name="40% - Accent5 4" xfId="3141"/>
    <cellStyle name="40% - Accent5 4 2" xfId="3142"/>
    <cellStyle name="40% - Accent5 4 2 2" xfId="3143"/>
    <cellStyle name="40% - Accent5 4 2 2 2" xfId="3144"/>
    <cellStyle name="40% - Accent5 4 2 2 2 2" xfId="3145"/>
    <cellStyle name="40% - Accent5 4 2 2 2 2 2" xfId="12143"/>
    <cellStyle name="40% - Accent5 4 2 2 2 2 2 2" xfId="19959"/>
    <cellStyle name="40% - Accent5 4 2 2 2 2 3" xfId="16072"/>
    <cellStyle name="40% - Accent5 4 2 2 2 3" xfId="12142"/>
    <cellStyle name="40% - Accent5 4 2 2 2 3 2" xfId="19958"/>
    <cellStyle name="40% - Accent5 4 2 2 2 4" xfId="16071"/>
    <cellStyle name="40% - Accent5 4 2 2 3" xfId="3146"/>
    <cellStyle name="40% - Accent5 4 2 2 3 2" xfId="3147"/>
    <cellStyle name="40% - Accent5 4 2 2 3 2 2" xfId="12145"/>
    <cellStyle name="40% - Accent5 4 2 2 3 2 2 2" xfId="19961"/>
    <cellStyle name="40% - Accent5 4 2 2 3 2 3" xfId="16074"/>
    <cellStyle name="40% - Accent5 4 2 2 3 3" xfId="12144"/>
    <cellStyle name="40% - Accent5 4 2 2 3 3 2" xfId="19960"/>
    <cellStyle name="40% - Accent5 4 2 2 3 4" xfId="16073"/>
    <cellStyle name="40% - Accent5 4 2 2 4" xfId="3148"/>
    <cellStyle name="40% - Accent5 4 2 2 4 2" xfId="12146"/>
    <cellStyle name="40% - Accent5 4 2 2 4 2 2" xfId="19962"/>
    <cellStyle name="40% - Accent5 4 2 2 4 3" xfId="16075"/>
    <cellStyle name="40% - Accent5 4 2 2 5" xfId="12141"/>
    <cellStyle name="40% - Accent5 4 2 2 5 2" xfId="19957"/>
    <cellStyle name="40% - Accent5 4 2 2 6" xfId="16070"/>
    <cellStyle name="40% - Accent5 4 2 3" xfId="3149"/>
    <cellStyle name="40% - Accent5 4 2 3 2" xfId="3150"/>
    <cellStyle name="40% - Accent5 4 2 3 2 2" xfId="3151"/>
    <cellStyle name="40% - Accent5 4 2 3 2 2 2" xfId="12149"/>
    <cellStyle name="40% - Accent5 4 2 3 2 2 2 2" xfId="19965"/>
    <cellStyle name="40% - Accent5 4 2 3 2 2 3" xfId="16078"/>
    <cellStyle name="40% - Accent5 4 2 3 2 3" xfId="12148"/>
    <cellStyle name="40% - Accent5 4 2 3 2 3 2" xfId="19964"/>
    <cellStyle name="40% - Accent5 4 2 3 2 4" xfId="16077"/>
    <cellStyle name="40% - Accent5 4 2 3 3" xfId="3152"/>
    <cellStyle name="40% - Accent5 4 2 3 3 2" xfId="12150"/>
    <cellStyle name="40% - Accent5 4 2 3 3 2 2" xfId="19966"/>
    <cellStyle name="40% - Accent5 4 2 3 3 3" xfId="16079"/>
    <cellStyle name="40% - Accent5 4 2 3 4" xfId="12147"/>
    <cellStyle name="40% - Accent5 4 2 3 4 2" xfId="19963"/>
    <cellStyle name="40% - Accent5 4 2 3 5" xfId="16076"/>
    <cellStyle name="40% - Accent5 4 2 4" xfId="3153"/>
    <cellStyle name="40% - Accent5 4 2 4 2" xfId="3154"/>
    <cellStyle name="40% - Accent5 4 2 4 2 2" xfId="12152"/>
    <cellStyle name="40% - Accent5 4 2 4 2 2 2" xfId="19968"/>
    <cellStyle name="40% - Accent5 4 2 4 2 3" xfId="16081"/>
    <cellStyle name="40% - Accent5 4 2 4 3" xfId="12151"/>
    <cellStyle name="40% - Accent5 4 2 4 3 2" xfId="19967"/>
    <cellStyle name="40% - Accent5 4 2 4 4" xfId="16080"/>
    <cellStyle name="40% - Accent5 4 2 5" xfId="3155"/>
    <cellStyle name="40% - Accent5 4 2 5 2" xfId="12153"/>
    <cellStyle name="40% - Accent5 4 2 5 2 2" xfId="19969"/>
    <cellStyle name="40% - Accent5 4 2 5 3" xfId="16082"/>
    <cellStyle name="40% - Accent5 4 2 6" xfId="12140"/>
    <cellStyle name="40% - Accent5 4 2 6 2" xfId="19956"/>
    <cellStyle name="40% - Accent5 4 2 7" xfId="16069"/>
    <cellStyle name="40% - Accent5 4 3" xfId="3156"/>
    <cellStyle name="40% - Accent5 4 3 2" xfId="3157"/>
    <cellStyle name="40% - Accent5 4 3 2 2" xfId="3158"/>
    <cellStyle name="40% - Accent5 4 3 2 2 2" xfId="3159"/>
    <cellStyle name="40% - Accent5 4 3 2 2 2 2" xfId="12157"/>
    <cellStyle name="40% - Accent5 4 3 2 2 2 2 2" xfId="19973"/>
    <cellStyle name="40% - Accent5 4 3 2 2 2 3" xfId="16086"/>
    <cellStyle name="40% - Accent5 4 3 2 2 3" xfId="12156"/>
    <cellStyle name="40% - Accent5 4 3 2 2 3 2" xfId="19972"/>
    <cellStyle name="40% - Accent5 4 3 2 2 4" xfId="16085"/>
    <cellStyle name="40% - Accent5 4 3 2 3" xfId="3160"/>
    <cellStyle name="40% - Accent5 4 3 2 3 2" xfId="12158"/>
    <cellStyle name="40% - Accent5 4 3 2 3 2 2" xfId="19974"/>
    <cellStyle name="40% - Accent5 4 3 2 3 3" xfId="16087"/>
    <cellStyle name="40% - Accent5 4 3 2 4" xfId="12155"/>
    <cellStyle name="40% - Accent5 4 3 2 4 2" xfId="19971"/>
    <cellStyle name="40% - Accent5 4 3 2 5" xfId="16084"/>
    <cellStyle name="40% - Accent5 4 3 3" xfId="3161"/>
    <cellStyle name="40% - Accent5 4 3 3 2" xfId="3162"/>
    <cellStyle name="40% - Accent5 4 3 3 2 2" xfId="12160"/>
    <cellStyle name="40% - Accent5 4 3 3 2 2 2" xfId="19976"/>
    <cellStyle name="40% - Accent5 4 3 3 2 3" xfId="16089"/>
    <cellStyle name="40% - Accent5 4 3 3 3" xfId="12159"/>
    <cellStyle name="40% - Accent5 4 3 3 3 2" xfId="19975"/>
    <cellStyle name="40% - Accent5 4 3 3 4" xfId="16088"/>
    <cellStyle name="40% - Accent5 4 3 4" xfId="3163"/>
    <cellStyle name="40% - Accent5 4 3 4 2" xfId="3164"/>
    <cellStyle name="40% - Accent5 4 3 4 2 2" xfId="12162"/>
    <cellStyle name="40% - Accent5 4 3 4 2 2 2" xfId="19978"/>
    <cellStyle name="40% - Accent5 4 3 4 2 3" xfId="16091"/>
    <cellStyle name="40% - Accent5 4 3 4 3" xfId="12161"/>
    <cellStyle name="40% - Accent5 4 3 4 3 2" xfId="19977"/>
    <cellStyle name="40% - Accent5 4 3 4 4" xfId="16090"/>
    <cellStyle name="40% - Accent5 4 3 5" xfId="3165"/>
    <cellStyle name="40% - Accent5 4 3 5 2" xfId="12163"/>
    <cellStyle name="40% - Accent5 4 3 5 2 2" xfId="19979"/>
    <cellStyle name="40% - Accent5 4 3 5 3" xfId="16092"/>
    <cellStyle name="40% - Accent5 4 3 6" xfId="12154"/>
    <cellStyle name="40% - Accent5 4 3 6 2" xfId="19970"/>
    <cellStyle name="40% - Accent5 4 3 7" xfId="16083"/>
    <cellStyle name="40% - Accent5 4 4" xfId="3166"/>
    <cellStyle name="40% - Accent5 4 4 2" xfId="3167"/>
    <cellStyle name="40% - Accent5 4 4 2 2" xfId="3168"/>
    <cellStyle name="40% - Accent5 4 4 2 2 2" xfId="12166"/>
    <cellStyle name="40% - Accent5 4 4 2 2 2 2" xfId="19982"/>
    <cellStyle name="40% - Accent5 4 4 2 2 3" xfId="16095"/>
    <cellStyle name="40% - Accent5 4 4 2 3" xfId="12165"/>
    <cellStyle name="40% - Accent5 4 4 2 3 2" xfId="19981"/>
    <cellStyle name="40% - Accent5 4 4 2 4" xfId="16094"/>
    <cellStyle name="40% - Accent5 4 4 3" xfId="3169"/>
    <cellStyle name="40% - Accent5 4 4 3 2" xfId="12167"/>
    <cellStyle name="40% - Accent5 4 4 3 2 2" xfId="19983"/>
    <cellStyle name="40% - Accent5 4 4 3 3" xfId="16096"/>
    <cellStyle name="40% - Accent5 4 4 4" xfId="12164"/>
    <cellStyle name="40% - Accent5 4 4 4 2" xfId="19980"/>
    <cellStyle name="40% - Accent5 4 4 5" xfId="16093"/>
    <cellStyle name="40% - Accent5 4 5" xfId="3170"/>
    <cellStyle name="40% - Accent5 4 5 2" xfId="3171"/>
    <cellStyle name="40% - Accent5 4 5 2 2" xfId="12169"/>
    <cellStyle name="40% - Accent5 4 5 2 2 2" xfId="19985"/>
    <cellStyle name="40% - Accent5 4 5 2 3" xfId="16098"/>
    <cellStyle name="40% - Accent5 4 5 3" xfId="12168"/>
    <cellStyle name="40% - Accent5 4 5 3 2" xfId="19984"/>
    <cellStyle name="40% - Accent5 4 5 4" xfId="16097"/>
    <cellStyle name="40% - Accent5 4 6" xfId="3172"/>
    <cellStyle name="40% - Accent5 4 6 2" xfId="12170"/>
    <cellStyle name="40% - Accent5 4 6 2 2" xfId="19986"/>
    <cellStyle name="40% - Accent5 4 6 3" xfId="16099"/>
    <cellStyle name="40% - Accent5 4 7" xfId="12139"/>
    <cellStyle name="40% - Accent5 4 7 2" xfId="19955"/>
    <cellStyle name="40% - Accent5 4 8" xfId="16068"/>
    <cellStyle name="40% - Accent5 5" xfId="3173"/>
    <cellStyle name="40% - Accent5 5 2" xfId="3174"/>
    <cellStyle name="40% - Accent5 5 2 2" xfId="3175"/>
    <cellStyle name="40% - Accent5 5 2 2 2" xfId="3176"/>
    <cellStyle name="40% - Accent5 5 2 2 2 2" xfId="12174"/>
    <cellStyle name="40% - Accent5 5 2 2 2 2 2" xfId="19990"/>
    <cellStyle name="40% - Accent5 5 2 2 2 3" xfId="16103"/>
    <cellStyle name="40% - Accent5 5 2 2 3" xfId="12173"/>
    <cellStyle name="40% - Accent5 5 2 2 3 2" xfId="19989"/>
    <cellStyle name="40% - Accent5 5 2 2 4" xfId="16102"/>
    <cellStyle name="40% - Accent5 5 2 3" xfId="3177"/>
    <cellStyle name="40% - Accent5 5 2 3 2" xfId="3178"/>
    <cellStyle name="40% - Accent5 5 2 3 2 2" xfId="12176"/>
    <cellStyle name="40% - Accent5 5 2 3 2 2 2" xfId="19992"/>
    <cellStyle name="40% - Accent5 5 2 3 2 3" xfId="16105"/>
    <cellStyle name="40% - Accent5 5 2 3 3" xfId="12175"/>
    <cellStyle name="40% - Accent5 5 2 3 3 2" xfId="19991"/>
    <cellStyle name="40% - Accent5 5 2 3 4" xfId="16104"/>
    <cellStyle name="40% - Accent5 5 2 4" xfId="3179"/>
    <cellStyle name="40% - Accent5 5 2 4 2" xfId="12177"/>
    <cellStyle name="40% - Accent5 5 2 4 2 2" xfId="19993"/>
    <cellStyle name="40% - Accent5 5 2 4 3" xfId="16106"/>
    <cellStyle name="40% - Accent5 5 2 5" xfId="12172"/>
    <cellStyle name="40% - Accent5 5 2 5 2" xfId="19988"/>
    <cellStyle name="40% - Accent5 5 2 6" xfId="16101"/>
    <cellStyle name="40% - Accent5 5 3" xfId="3180"/>
    <cellStyle name="40% - Accent5 5 3 2" xfId="3181"/>
    <cellStyle name="40% - Accent5 5 3 2 2" xfId="3182"/>
    <cellStyle name="40% - Accent5 5 3 2 2 2" xfId="12180"/>
    <cellStyle name="40% - Accent5 5 3 2 2 2 2" xfId="19996"/>
    <cellStyle name="40% - Accent5 5 3 2 2 3" xfId="16109"/>
    <cellStyle name="40% - Accent5 5 3 2 3" xfId="12179"/>
    <cellStyle name="40% - Accent5 5 3 2 3 2" xfId="19995"/>
    <cellStyle name="40% - Accent5 5 3 2 4" xfId="16108"/>
    <cellStyle name="40% - Accent5 5 3 3" xfId="3183"/>
    <cellStyle name="40% - Accent5 5 3 3 2" xfId="12181"/>
    <cellStyle name="40% - Accent5 5 3 3 2 2" xfId="19997"/>
    <cellStyle name="40% - Accent5 5 3 3 3" xfId="16110"/>
    <cellStyle name="40% - Accent5 5 3 4" xfId="12178"/>
    <cellStyle name="40% - Accent5 5 3 4 2" xfId="19994"/>
    <cellStyle name="40% - Accent5 5 3 5" xfId="16107"/>
    <cellStyle name="40% - Accent5 5 4" xfId="3184"/>
    <cellStyle name="40% - Accent5 5 4 2" xfId="3185"/>
    <cellStyle name="40% - Accent5 5 4 2 2" xfId="12183"/>
    <cellStyle name="40% - Accent5 5 4 2 2 2" xfId="19999"/>
    <cellStyle name="40% - Accent5 5 4 2 3" xfId="16112"/>
    <cellStyle name="40% - Accent5 5 4 3" xfId="12182"/>
    <cellStyle name="40% - Accent5 5 4 3 2" xfId="19998"/>
    <cellStyle name="40% - Accent5 5 4 4" xfId="16111"/>
    <cellStyle name="40% - Accent5 5 5" xfId="3186"/>
    <cellStyle name="40% - Accent5 5 5 2" xfId="12184"/>
    <cellStyle name="40% - Accent5 5 5 2 2" xfId="20000"/>
    <cellStyle name="40% - Accent5 5 5 3" xfId="16113"/>
    <cellStyle name="40% - Accent5 5 6" xfId="12171"/>
    <cellStyle name="40% - Accent5 5 6 2" xfId="19987"/>
    <cellStyle name="40% - Accent5 5 7" xfId="16100"/>
    <cellStyle name="40% - Accent5 6" xfId="3187"/>
    <cellStyle name="40% - Accent5 6 2" xfId="3188"/>
    <cellStyle name="40% - Accent5 6 2 2" xfId="3189"/>
    <cellStyle name="40% - Accent5 6 2 2 2" xfId="3190"/>
    <cellStyle name="40% - Accent5 6 2 2 2 2" xfId="12188"/>
    <cellStyle name="40% - Accent5 6 2 2 2 2 2" xfId="20004"/>
    <cellStyle name="40% - Accent5 6 2 2 2 3" xfId="16117"/>
    <cellStyle name="40% - Accent5 6 2 2 3" xfId="12187"/>
    <cellStyle name="40% - Accent5 6 2 2 3 2" xfId="20003"/>
    <cellStyle name="40% - Accent5 6 2 2 4" xfId="16116"/>
    <cellStyle name="40% - Accent5 6 2 3" xfId="3191"/>
    <cellStyle name="40% - Accent5 6 2 3 2" xfId="12189"/>
    <cellStyle name="40% - Accent5 6 2 3 2 2" xfId="20005"/>
    <cellStyle name="40% - Accent5 6 2 3 3" xfId="16118"/>
    <cellStyle name="40% - Accent5 6 2 4" xfId="12186"/>
    <cellStyle name="40% - Accent5 6 2 4 2" xfId="20002"/>
    <cellStyle name="40% - Accent5 6 2 5" xfId="16115"/>
    <cellStyle name="40% - Accent5 6 3" xfId="3192"/>
    <cellStyle name="40% - Accent5 6 3 2" xfId="3193"/>
    <cellStyle name="40% - Accent5 6 3 2 2" xfId="12191"/>
    <cellStyle name="40% - Accent5 6 3 2 2 2" xfId="20007"/>
    <cellStyle name="40% - Accent5 6 3 2 3" xfId="16120"/>
    <cellStyle name="40% - Accent5 6 3 3" xfId="12190"/>
    <cellStyle name="40% - Accent5 6 3 3 2" xfId="20006"/>
    <cellStyle name="40% - Accent5 6 3 4" xfId="16119"/>
    <cellStyle name="40% - Accent5 6 4" xfId="3194"/>
    <cellStyle name="40% - Accent5 6 4 2" xfId="12192"/>
    <cellStyle name="40% - Accent5 6 4 2 2" xfId="20008"/>
    <cellStyle name="40% - Accent5 6 4 3" xfId="16121"/>
    <cellStyle name="40% - Accent5 6 5" xfId="12185"/>
    <cellStyle name="40% - Accent5 6 5 2" xfId="20001"/>
    <cellStyle name="40% - Accent5 6 6" xfId="16114"/>
    <cellStyle name="40% - Accent5 7" xfId="3195"/>
    <cellStyle name="40% - Accent5 7 2" xfId="3196"/>
    <cellStyle name="40% - Accent5 7 2 2" xfId="3197"/>
    <cellStyle name="40% - Accent5 7 2 2 2" xfId="3198"/>
    <cellStyle name="40% - Accent5 7 2 2 2 2" xfId="12196"/>
    <cellStyle name="40% - Accent5 7 2 2 2 2 2" xfId="20012"/>
    <cellStyle name="40% - Accent5 7 2 2 2 3" xfId="16125"/>
    <cellStyle name="40% - Accent5 7 2 2 3" xfId="12195"/>
    <cellStyle name="40% - Accent5 7 2 2 3 2" xfId="20011"/>
    <cellStyle name="40% - Accent5 7 2 2 4" xfId="16124"/>
    <cellStyle name="40% - Accent5 7 2 3" xfId="3199"/>
    <cellStyle name="40% - Accent5 7 2 3 2" xfId="12197"/>
    <cellStyle name="40% - Accent5 7 2 3 2 2" xfId="20013"/>
    <cellStyle name="40% - Accent5 7 2 3 3" xfId="16126"/>
    <cellStyle name="40% - Accent5 7 2 4" xfId="12194"/>
    <cellStyle name="40% - Accent5 7 2 4 2" xfId="20010"/>
    <cellStyle name="40% - Accent5 7 2 5" xfId="16123"/>
    <cellStyle name="40% - Accent5 7 3" xfId="3200"/>
    <cellStyle name="40% - Accent5 7 3 2" xfId="3201"/>
    <cellStyle name="40% - Accent5 7 3 2 2" xfId="12199"/>
    <cellStyle name="40% - Accent5 7 3 2 2 2" xfId="20015"/>
    <cellStyle name="40% - Accent5 7 3 2 3" xfId="16128"/>
    <cellStyle name="40% - Accent5 7 3 3" xfId="12198"/>
    <cellStyle name="40% - Accent5 7 3 3 2" xfId="20014"/>
    <cellStyle name="40% - Accent5 7 3 4" xfId="16127"/>
    <cellStyle name="40% - Accent5 7 4" xfId="3202"/>
    <cellStyle name="40% - Accent5 7 4 2" xfId="12200"/>
    <cellStyle name="40% - Accent5 7 4 2 2" xfId="20016"/>
    <cellStyle name="40% - Accent5 7 4 3" xfId="16129"/>
    <cellStyle name="40% - Accent5 7 5" xfId="12193"/>
    <cellStyle name="40% - Accent5 7 5 2" xfId="20009"/>
    <cellStyle name="40% - Accent5 7 6" xfId="16122"/>
    <cellStyle name="40% - Accent5 8" xfId="3203"/>
    <cellStyle name="40% - Accent5 8 2" xfId="3204"/>
    <cellStyle name="40% - Accent5 8 2 2" xfId="3205"/>
    <cellStyle name="40% - Accent5 8 2 2 2" xfId="12203"/>
    <cellStyle name="40% - Accent5 8 2 2 2 2" xfId="20019"/>
    <cellStyle name="40% - Accent5 8 2 2 3" xfId="16132"/>
    <cellStyle name="40% - Accent5 8 2 3" xfId="12202"/>
    <cellStyle name="40% - Accent5 8 2 3 2" xfId="20018"/>
    <cellStyle name="40% - Accent5 8 2 4" xfId="16131"/>
    <cellStyle name="40% - Accent5 8 3" xfId="3206"/>
    <cellStyle name="40% - Accent5 8 3 2" xfId="12204"/>
    <cellStyle name="40% - Accent5 8 3 2 2" xfId="20020"/>
    <cellStyle name="40% - Accent5 8 3 3" xfId="16133"/>
    <cellStyle name="40% - Accent5 8 4" xfId="12201"/>
    <cellStyle name="40% - Accent5 8 4 2" xfId="20017"/>
    <cellStyle name="40% - Accent5 8 5" xfId="16130"/>
    <cellStyle name="40% - Accent5 9" xfId="3207"/>
    <cellStyle name="40% - Accent5 9 2" xfId="3208"/>
    <cellStyle name="40% - Accent5 9 2 2" xfId="12206"/>
    <cellStyle name="40% - Accent5 9 2 2 2" xfId="20022"/>
    <cellStyle name="40% - Accent5 9 2 3" xfId="16135"/>
    <cellStyle name="40% - Accent5 9 3" xfId="12205"/>
    <cellStyle name="40% - Accent5 9 3 2" xfId="20021"/>
    <cellStyle name="40% - Accent5 9 4" xfId="16134"/>
    <cellStyle name="40% - Accent6 10" xfId="3209"/>
    <cellStyle name="40% - Accent6 10 2" xfId="3210"/>
    <cellStyle name="40% - Accent6 10 2 2" xfId="12208"/>
    <cellStyle name="40% - Accent6 10 2 2 2" xfId="20024"/>
    <cellStyle name="40% - Accent6 10 2 3" xfId="16137"/>
    <cellStyle name="40% - Accent6 10 3" xfId="12207"/>
    <cellStyle name="40% - Accent6 10 3 2" xfId="20023"/>
    <cellStyle name="40% - Accent6 10 4" xfId="16136"/>
    <cellStyle name="40% - Accent6 11" xfId="3211"/>
    <cellStyle name="40% - Accent6 11 2" xfId="12209"/>
    <cellStyle name="40% - Accent6 11 2 2" xfId="20025"/>
    <cellStyle name="40% - Accent6 11 3" xfId="16138"/>
    <cellStyle name="40% - Accent6 12" xfId="3212"/>
    <cellStyle name="40% - Accent6 12 2" xfId="12210"/>
    <cellStyle name="40% - Accent6 12 2 2" xfId="20026"/>
    <cellStyle name="40% - Accent6 12 3" xfId="16139"/>
    <cellStyle name="40% - Accent6 2" xfId="3213"/>
    <cellStyle name="40% - Accent6 2 10" xfId="3214"/>
    <cellStyle name="40% - Accent6 2 10 2" xfId="12212"/>
    <cellStyle name="40% - Accent6 2 10 2 2" xfId="20028"/>
    <cellStyle name="40% - Accent6 2 10 3" xfId="16141"/>
    <cellStyle name="40% - Accent6 2 11" xfId="12211"/>
    <cellStyle name="40% - Accent6 2 11 2" xfId="20027"/>
    <cellStyle name="40% - Accent6 2 12" xfId="12956"/>
    <cellStyle name="40% - Accent6 2 13" xfId="16140"/>
    <cellStyle name="40% - Accent6 2 2" xfId="3215"/>
    <cellStyle name="40% - Accent6 2 2 10" xfId="16142"/>
    <cellStyle name="40% - Accent6 2 2 2" xfId="3216"/>
    <cellStyle name="40% - Accent6 2 2 2 2" xfId="3217"/>
    <cellStyle name="40% - Accent6 2 2 2 2 2" xfId="3218"/>
    <cellStyle name="40% - Accent6 2 2 2 2 2 2" xfId="3219"/>
    <cellStyle name="40% - Accent6 2 2 2 2 2 2 2" xfId="3220"/>
    <cellStyle name="40% - Accent6 2 2 2 2 2 2 2 2" xfId="12218"/>
    <cellStyle name="40% - Accent6 2 2 2 2 2 2 2 2 2" xfId="20034"/>
    <cellStyle name="40% - Accent6 2 2 2 2 2 2 2 3" xfId="16147"/>
    <cellStyle name="40% - Accent6 2 2 2 2 2 2 3" xfId="12217"/>
    <cellStyle name="40% - Accent6 2 2 2 2 2 2 3 2" xfId="20033"/>
    <cellStyle name="40% - Accent6 2 2 2 2 2 2 4" xfId="16146"/>
    <cellStyle name="40% - Accent6 2 2 2 2 2 3" xfId="3221"/>
    <cellStyle name="40% - Accent6 2 2 2 2 2 3 2" xfId="3222"/>
    <cellStyle name="40% - Accent6 2 2 2 2 2 3 2 2" xfId="12220"/>
    <cellStyle name="40% - Accent6 2 2 2 2 2 3 2 2 2" xfId="20036"/>
    <cellStyle name="40% - Accent6 2 2 2 2 2 3 2 3" xfId="16149"/>
    <cellStyle name="40% - Accent6 2 2 2 2 2 3 3" xfId="12219"/>
    <cellStyle name="40% - Accent6 2 2 2 2 2 3 3 2" xfId="20035"/>
    <cellStyle name="40% - Accent6 2 2 2 2 2 3 4" xfId="16148"/>
    <cellStyle name="40% - Accent6 2 2 2 2 2 4" xfId="3223"/>
    <cellStyle name="40% - Accent6 2 2 2 2 2 4 2" xfId="12221"/>
    <cellStyle name="40% - Accent6 2 2 2 2 2 4 2 2" xfId="20037"/>
    <cellStyle name="40% - Accent6 2 2 2 2 2 4 3" xfId="16150"/>
    <cellStyle name="40% - Accent6 2 2 2 2 2 5" xfId="12216"/>
    <cellStyle name="40% - Accent6 2 2 2 2 2 5 2" xfId="20032"/>
    <cellStyle name="40% - Accent6 2 2 2 2 2 6" xfId="16145"/>
    <cellStyle name="40% - Accent6 2 2 2 2 3" xfId="3224"/>
    <cellStyle name="40% - Accent6 2 2 2 2 3 2" xfId="3225"/>
    <cellStyle name="40% - Accent6 2 2 2 2 3 2 2" xfId="3226"/>
    <cellStyle name="40% - Accent6 2 2 2 2 3 2 2 2" xfId="12224"/>
    <cellStyle name="40% - Accent6 2 2 2 2 3 2 2 2 2" xfId="20040"/>
    <cellStyle name="40% - Accent6 2 2 2 2 3 2 2 3" xfId="16153"/>
    <cellStyle name="40% - Accent6 2 2 2 2 3 2 3" xfId="12223"/>
    <cellStyle name="40% - Accent6 2 2 2 2 3 2 3 2" xfId="20039"/>
    <cellStyle name="40% - Accent6 2 2 2 2 3 2 4" xfId="16152"/>
    <cellStyle name="40% - Accent6 2 2 2 2 3 3" xfId="3227"/>
    <cellStyle name="40% - Accent6 2 2 2 2 3 3 2" xfId="12225"/>
    <cellStyle name="40% - Accent6 2 2 2 2 3 3 2 2" xfId="20041"/>
    <cellStyle name="40% - Accent6 2 2 2 2 3 3 3" xfId="16154"/>
    <cellStyle name="40% - Accent6 2 2 2 2 3 4" xfId="12222"/>
    <cellStyle name="40% - Accent6 2 2 2 2 3 4 2" xfId="20038"/>
    <cellStyle name="40% - Accent6 2 2 2 2 3 5" xfId="16151"/>
    <cellStyle name="40% - Accent6 2 2 2 2 4" xfId="3228"/>
    <cellStyle name="40% - Accent6 2 2 2 2 4 2" xfId="3229"/>
    <cellStyle name="40% - Accent6 2 2 2 2 4 2 2" xfId="12227"/>
    <cellStyle name="40% - Accent6 2 2 2 2 4 2 2 2" xfId="20043"/>
    <cellStyle name="40% - Accent6 2 2 2 2 4 2 3" xfId="16156"/>
    <cellStyle name="40% - Accent6 2 2 2 2 4 3" xfId="12226"/>
    <cellStyle name="40% - Accent6 2 2 2 2 4 3 2" xfId="20042"/>
    <cellStyle name="40% - Accent6 2 2 2 2 4 4" xfId="16155"/>
    <cellStyle name="40% - Accent6 2 2 2 2 5" xfId="3230"/>
    <cellStyle name="40% - Accent6 2 2 2 2 5 2" xfId="12228"/>
    <cellStyle name="40% - Accent6 2 2 2 2 5 2 2" xfId="20044"/>
    <cellStyle name="40% - Accent6 2 2 2 2 5 3" xfId="16157"/>
    <cellStyle name="40% - Accent6 2 2 2 2 6" xfId="12215"/>
    <cellStyle name="40% - Accent6 2 2 2 2 6 2" xfId="20031"/>
    <cellStyle name="40% - Accent6 2 2 2 2 7" xfId="16144"/>
    <cellStyle name="40% - Accent6 2 2 2 3" xfId="3231"/>
    <cellStyle name="40% - Accent6 2 2 2 3 2" xfId="3232"/>
    <cellStyle name="40% - Accent6 2 2 2 3 2 2" xfId="3233"/>
    <cellStyle name="40% - Accent6 2 2 2 3 2 2 2" xfId="3234"/>
    <cellStyle name="40% - Accent6 2 2 2 3 2 2 2 2" xfId="12232"/>
    <cellStyle name="40% - Accent6 2 2 2 3 2 2 2 2 2" xfId="20048"/>
    <cellStyle name="40% - Accent6 2 2 2 3 2 2 2 3" xfId="16161"/>
    <cellStyle name="40% - Accent6 2 2 2 3 2 2 3" xfId="12231"/>
    <cellStyle name="40% - Accent6 2 2 2 3 2 2 3 2" xfId="20047"/>
    <cellStyle name="40% - Accent6 2 2 2 3 2 2 4" xfId="16160"/>
    <cellStyle name="40% - Accent6 2 2 2 3 2 3" xfId="3235"/>
    <cellStyle name="40% - Accent6 2 2 2 3 2 3 2" xfId="12233"/>
    <cellStyle name="40% - Accent6 2 2 2 3 2 3 2 2" xfId="20049"/>
    <cellStyle name="40% - Accent6 2 2 2 3 2 3 3" xfId="16162"/>
    <cellStyle name="40% - Accent6 2 2 2 3 2 4" xfId="12230"/>
    <cellStyle name="40% - Accent6 2 2 2 3 2 4 2" xfId="20046"/>
    <cellStyle name="40% - Accent6 2 2 2 3 2 5" xfId="16159"/>
    <cellStyle name="40% - Accent6 2 2 2 3 3" xfId="3236"/>
    <cellStyle name="40% - Accent6 2 2 2 3 3 2" xfId="3237"/>
    <cellStyle name="40% - Accent6 2 2 2 3 3 2 2" xfId="12235"/>
    <cellStyle name="40% - Accent6 2 2 2 3 3 2 2 2" xfId="20051"/>
    <cellStyle name="40% - Accent6 2 2 2 3 3 2 3" xfId="16164"/>
    <cellStyle name="40% - Accent6 2 2 2 3 3 3" xfId="12234"/>
    <cellStyle name="40% - Accent6 2 2 2 3 3 3 2" xfId="20050"/>
    <cellStyle name="40% - Accent6 2 2 2 3 3 4" xfId="16163"/>
    <cellStyle name="40% - Accent6 2 2 2 3 4" xfId="3238"/>
    <cellStyle name="40% - Accent6 2 2 2 3 4 2" xfId="3239"/>
    <cellStyle name="40% - Accent6 2 2 2 3 4 2 2" xfId="12237"/>
    <cellStyle name="40% - Accent6 2 2 2 3 4 2 2 2" xfId="20053"/>
    <cellStyle name="40% - Accent6 2 2 2 3 4 2 3" xfId="16166"/>
    <cellStyle name="40% - Accent6 2 2 2 3 4 3" xfId="12236"/>
    <cellStyle name="40% - Accent6 2 2 2 3 4 3 2" xfId="20052"/>
    <cellStyle name="40% - Accent6 2 2 2 3 4 4" xfId="16165"/>
    <cellStyle name="40% - Accent6 2 2 2 3 5" xfId="3240"/>
    <cellStyle name="40% - Accent6 2 2 2 3 5 2" xfId="12238"/>
    <cellStyle name="40% - Accent6 2 2 2 3 5 2 2" xfId="20054"/>
    <cellStyle name="40% - Accent6 2 2 2 3 5 3" xfId="16167"/>
    <cellStyle name="40% - Accent6 2 2 2 3 6" xfId="12229"/>
    <cellStyle name="40% - Accent6 2 2 2 3 6 2" xfId="20045"/>
    <cellStyle name="40% - Accent6 2 2 2 3 7" xfId="16158"/>
    <cellStyle name="40% - Accent6 2 2 2 4" xfId="3241"/>
    <cellStyle name="40% - Accent6 2 2 2 4 2" xfId="3242"/>
    <cellStyle name="40% - Accent6 2 2 2 4 2 2" xfId="3243"/>
    <cellStyle name="40% - Accent6 2 2 2 4 2 2 2" xfId="12241"/>
    <cellStyle name="40% - Accent6 2 2 2 4 2 2 2 2" xfId="20057"/>
    <cellStyle name="40% - Accent6 2 2 2 4 2 2 3" xfId="16170"/>
    <cellStyle name="40% - Accent6 2 2 2 4 2 3" xfId="12240"/>
    <cellStyle name="40% - Accent6 2 2 2 4 2 3 2" xfId="20056"/>
    <cellStyle name="40% - Accent6 2 2 2 4 2 4" xfId="16169"/>
    <cellStyle name="40% - Accent6 2 2 2 4 3" xfId="3244"/>
    <cellStyle name="40% - Accent6 2 2 2 4 3 2" xfId="12242"/>
    <cellStyle name="40% - Accent6 2 2 2 4 3 2 2" xfId="20058"/>
    <cellStyle name="40% - Accent6 2 2 2 4 3 3" xfId="16171"/>
    <cellStyle name="40% - Accent6 2 2 2 4 4" xfId="12239"/>
    <cellStyle name="40% - Accent6 2 2 2 4 4 2" xfId="20055"/>
    <cellStyle name="40% - Accent6 2 2 2 4 5" xfId="16168"/>
    <cellStyle name="40% - Accent6 2 2 2 5" xfId="3245"/>
    <cellStyle name="40% - Accent6 2 2 2 5 2" xfId="3246"/>
    <cellStyle name="40% - Accent6 2 2 2 5 2 2" xfId="12244"/>
    <cellStyle name="40% - Accent6 2 2 2 5 2 2 2" xfId="20060"/>
    <cellStyle name="40% - Accent6 2 2 2 5 2 3" xfId="16173"/>
    <cellStyle name="40% - Accent6 2 2 2 5 3" xfId="12243"/>
    <cellStyle name="40% - Accent6 2 2 2 5 3 2" xfId="20059"/>
    <cellStyle name="40% - Accent6 2 2 2 5 4" xfId="16172"/>
    <cellStyle name="40% - Accent6 2 2 2 6" xfId="3247"/>
    <cellStyle name="40% - Accent6 2 2 2 6 2" xfId="12245"/>
    <cellStyle name="40% - Accent6 2 2 2 6 2 2" xfId="20061"/>
    <cellStyle name="40% - Accent6 2 2 2 6 3" xfId="16174"/>
    <cellStyle name="40% - Accent6 2 2 2 7" xfId="12214"/>
    <cellStyle name="40% - Accent6 2 2 2 7 2" xfId="20030"/>
    <cellStyle name="40% - Accent6 2 2 2 8" xfId="16143"/>
    <cellStyle name="40% - Accent6 2 2 3" xfId="3248"/>
    <cellStyle name="40% - Accent6 2 2 3 2" xfId="3249"/>
    <cellStyle name="40% - Accent6 2 2 3 2 2" xfId="3250"/>
    <cellStyle name="40% - Accent6 2 2 3 2 2 2" xfId="3251"/>
    <cellStyle name="40% - Accent6 2 2 3 2 2 2 2" xfId="12249"/>
    <cellStyle name="40% - Accent6 2 2 3 2 2 2 2 2" xfId="20065"/>
    <cellStyle name="40% - Accent6 2 2 3 2 2 2 3" xfId="16178"/>
    <cellStyle name="40% - Accent6 2 2 3 2 2 3" xfId="12248"/>
    <cellStyle name="40% - Accent6 2 2 3 2 2 3 2" xfId="20064"/>
    <cellStyle name="40% - Accent6 2 2 3 2 2 4" xfId="16177"/>
    <cellStyle name="40% - Accent6 2 2 3 2 3" xfId="3252"/>
    <cellStyle name="40% - Accent6 2 2 3 2 3 2" xfId="3253"/>
    <cellStyle name="40% - Accent6 2 2 3 2 3 2 2" xfId="12251"/>
    <cellStyle name="40% - Accent6 2 2 3 2 3 2 2 2" xfId="20067"/>
    <cellStyle name="40% - Accent6 2 2 3 2 3 2 3" xfId="16180"/>
    <cellStyle name="40% - Accent6 2 2 3 2 3 3" xfId="12250"/>
    <cellStyle name="40% - Accent6 2 2 3 2 3 3 2" xfId="20066"/>
    <cellStyle name="40% - Accent6 2 2 3 2 3 4" xfId="16179"/>
    <cellStyle name="40% - Accent6 2 2 3 2 4" xfId="3254"/>
    <cellStyle name="40% - Accent6 2 2 3 2 4 2" xfId="12252"/>
    <cellStyle name="40% - Accent6 2 2 3 2 4 2 2" xfId="20068"/>
    <cellStyle name="40% - Accent6 2 2 3 2 4 3" xfId="16181"/>
    <cellStyle name="40% - Accent6 2 2 3 2 5" xfId="12247"/>
    <cellStyle name="40% - Accent6 2 2 3 2 5 2" xfId="20063"/>
    <cellStyle name="40% - Accent6 2 2 3 2 6" xfId="16176"/>
    <cellStyle name="40% - Accent6 2 2 3 3" xfId="3255"/>
    <cellStyle name="40% - Accent6 2 2 3 3 2" xfId="3256"/>
    <cellStyle name="40% - Accent6 2 2 3 3 2 2" xfId="3257"/>
    <cellStyle name="40% - Accent6 2 2 3 3 2 2 2" xfId="12255"/>
    <cellStyle name="40% - Accent6 2 2 3 3 2 2 2 2" xfId="20071"/>
    <cellStyle name="40% - Accent6 2 2 3 3 2 2 3" xfId="16184"/>
    <cellStyle name="40% - Accent6 2 2 3 3 2 3" xfId="12254"/>
    <cellStyle name="40% - Accent6 2 2 3 3 2 3 2" xfId="20070"/>
    <cellStyle name="40% - Accent6 2 2 3 3 2 4" xfId="16183"/>
    <cellStyle name="40% - Accent6 2 2 3 3 3" xfId="3258"/>
    <cellStyle name="40% - Accent6 2 2 3 3 3 2" xfId="12256"/>
    <cellStyle name="40% - Accent6 2 2 3 3 3 2 2" xfId="20072"/>
    <cellStyle name="40% - Accent6 2 2 3 3 3 3" xfId="16185"/>
    <cellStyle name="40% - Accent6 2 2 3 3 4" xfId="12253"/>
    <cellStyle name="40% - Accent6 2 2 3 3 4 2" xfId="20069"/>
    <cellStyle name="40% - Accent6 2 2 3 3 5" xfId="16182"/>
    <cellStyle name="40% - Accent6 2 2 3 4" xfId="3259"/>
    <cellStyle name="40% - Accent6 2 2 3 4 2" xfId="3260"/>
    <cellStyle name="40% - Accent6 2 2 3 4 2 2" xfId="12258"/>
    <cellStyle name="40% - Accent6 2 2 3 4 2 2 2" xfId="20074"/>
    <cellStyle name="40% - Accent6 2 2 3 4 2 3" xfId="16187"/>
    <cellStyle name="40% - Accent6 2 2 3 4 3" xfId="12257"/>
    <cellStyle name="40% - Accent6 2 2 3 4 3 2" xfId="20073"/>
    <cellStyle name="40% - Accent6 2 2 3 4 4" xfId="16186"/>
    <cellStyle name="40% - Accent6 2 2 3 5" xfId="3261"/>
    <cellStyle name="40% - Accent6 2 2 3 5 2" xfId="12259"/>
    <cellStyle name="40% - Accent6 2 2 3 5 2 2" xfId="20075"/>
    <cellStyle name="40% - Accent6 2 2 3 5 3" xfId="16188"/>
    <cellStyle name="40% - Accent6 2 2 3 6" xfId="12246"/>
    <cellStyle name="40% - Accent6 2 2 3 6 2" xfId="20062"/>
    <cellStyle name="40% - Accent6 2 2 3 7" xfId="16175"/>
    <cellStyle name="40% - Accent6 2 2 4" xfId="3262"/>
    <cellStyle name="40% - Accent6 2 2 4 2" xfId="3263"/>
    <cellStyle name="40% - Accent6 2 2 4 2 2" xfId="3264"/>
    <cellStyle name="40% - Accent6 2 2 4 2 2 2" xfId="3265"/>
    <cellStyle name="40% - Accent6 2 2 4 2 2 2 2" xfId="12263"/>
    <cellStyle name="40% - Accent6 2 2 4 2 2 2 2 2" xfId="20079"/>
    <cellStyle name="40% - Accent6 2 2 4 2 2 2 3" xfId="16192"/>
    <cellStyle name="40% - Accent6 2 2 4 2 2 3" xfId="12262"/>
    <cellStyle name="40% - Accent6 2 2 4 2 2 3 2" xfId="20078"/>
    <cellStyle name="40% - Accent6 2 2 4 2 2 4" xfId="16191"/>
    <cellStyle name="40% - Accent6 2 2 4 2 3" xfId="3266"/>
    <cellStyle name="40% - Accent6 2 2 4 2 3 2" xfId="12264"/>
    <cellStyle name="40% - Accent6 2 2 4 2 3 2 2" xfId="20080"/>
    <cellStyle name="40% - Accent6 2 2 4 2 3 3" xfId="16193"/>
    <cellStyle name="40% - Accent6 2 2 4 2 4" xfId="12261"/>
    <cellStyle name="40% - Accent6 2 2 4 2 4 2" xfId="20077"/>
    <cellStyle name="40% - Accent6 2 2 4 2 5" xfId="16190"/>
    <cellStyle name="40% - Accent6 2 2 4 3" xfId="3267"/>
    <cellStyle name="40% - Accent6 2 2 4 3 2" xfId="3268"/>
    <cellStyle name="40% - Accent6 2 2 4 3 2 2" xfId="12266"/>
    <cellStyle name="40% - Accent6 2 2 4 3 2 2 2" xfId="20082"/>
    <cellStyle name="40% - Accent6 2 2 4 3 2 3" xfId="16195"/>
    <cellStyle name="40% - Accent6 2 2 4 3 3" xfId="12265"/>
    <cellStyle name="40% - Accent6 2 2 4 3 3 2" xfId="20081"/>
    <cellStyle name="40% - Accent6 2 2 4 3 4" xfId="16194"/>
    <cellStyle name="40% - Accent6 2 2 4 4" xfId="3269"/>
    <cellStyle name="40% - Accent6 2 2 4 4 2" xfId="12267"/>
    <cellStyle name="40% - Accent6 2 2 4 4 2 2" xfId="20083"/>
    <cellStyle name="40% - Accent6 2 2 4 4 3" xfId="16196"/>
    <cellStyle name="40% - Accent6 2 2 4 5" xfId="12260"/>
    <cellStyle name="40% - Accent6 2 2 4 5 2" xfId="20076"/>
    <cellStyle name="40% - Accent6 2 2 4 6" xfId="16189"/>
    <cellStyle name="40% - Accent6 2 2 5" xfId="3270"/>
    <cellStyle name="40% - Accent6 2 2 5 2" xfId="3271"/>
    <cellStyle name="40% - Accent6 2 2 5 2 2" xfId="3272"/>
    <cellStyle name="40% - Accent6 2 2 5 2 2 2" xfId="3273"/>
    <cellStyle name="40% - Accent6 2 2 5 2 2 2 2" xfId="12271"/>
    <cellStyle name="40% - Accent6 2 2 5 2 2 2 2 2" xfId="20087"/>
    <cellStyle name="40% - Accent6 2 2 5 2 2 2 3" xfId="16200"/>
    <cellStyle name="40% - Accent6 2 2 5 2 2 3" xfId="12270"/>
    <cellStyle name="40% - Accent6 2 2 5 2 2 3 2" xfId="20086"/>
    <cellStyle name="40% - Accent6 2 2 5 2 2 4" xfId="16199"/>
    <cellStyle name="40% - Accent6 2 2 5 2 3" xfId="3274"/>
    <cellStyle name="40% - Accent6 2 2 5 2 3 2" xfId="12272"/>
    <cellStyle name="40% - Accent6 2 2 5 2 3 2 2" xfId="20088"/>
    <cellStyle name="40% - Accent6 2 2 5 2 3 3" xfId="16201"/>
    <cellStyle name="40% - Accent6 2 2 5 2 4" xfId="12269"/>
    <cellStyle name="40% - Accent6 2 2 5 2 4 2" xfId="20085"/>
    <cellStyle name="40% - Accent6 2 2 5 2 5" xfId="16198"/>
    <cellStyle name="40% - Accent6 2 2 5 3" xfId="3275"/>
    <cellStyle name="40% - Accent6 2 2 5 3 2" xfId="3276"/>
    <cellStyle name="40% - Accent6 2 2 5 3 2 2" xfId="12274"/>
    <cellStyle name="40% - Accent6 2 2 5 3 2 2 2" xfId="20090"/>
    <cellStyle name="40% - Accent6 2 2 5 3 2 3" xfId="16203"/>
    <cellStyle name="40% - Accent6 2 2 5 3 3" xfId="12273"/>
    <cellStyle name="40% - Accent6 2 2 5 3 3 2" xfId="20089"/>
    <cellStyle name="40% - Accent6 2 2 5 3 4" xfId="16202"/>
    <cellStyle name="40% - Accent6 2 2 5 4" xfId="3277"/>
    <cellStyle name="40% - Accent6 2 2 5 4 2" xfId="3278"/>
    <cellStyle name="40% - Accent6 2 2 5 4 2 2" xfId="12276"/>
    <cellStyle name="40% - Accent6 2 2 5 4 2 2 2" xfId="20092"/>
    <cellStyle name="40% - Accent6 2 2 5 4 2 3" xfId="16205"/>
    <cellStyle name="40% - Accent6 2 2 5 4 3" xfId="12275"/>
    <cellStyle name="40% - Accent6 2 2 5 4 3 2" xfId="20091"/>
    <cellStyle name="40% - Accent6 2 2 5 4 4" xfId="16204"/>
    <cellStyle name="40% - Accent6 2 2 5 5" xfId="3279"/>
    <cellStyle name="40% - Accent6 2 2 5 5 2" xfId="12277"/>
    <cellStyle name="40% - Accent6 2 2 5 5 2 2" xfId="20093"/>
    <cellStyle name="40% - Accent6 2 2 5 5 3" xfId="16206"/>
    <cellStyle name="40% - Accent6 2 2 5 6" xfId="12268"/>
    <cellStyle name="40% - Accent6 2 2 5 6 2" xfId="20084"/>
    <cellStyle name="40% - Accent6 2 2 5 7" xfId="16197"/>
    <cellStyle name="40% - Accent6 2 2 6" xfId="3280"/>
    <cellStyle name="40% - Accent6 2 2 6 2" xfId="3281"/>
    <cellStyle name="40% - Accent6 2 2 6 2 2" xfId="3282"/>
    <cellStyle name="40% - Accent6 2 2 6 2 2 2" xfId="12280"/>
    <cellStyle name="40% - Accent6 2 2 6 2 2 2 2" xfId="20096"/>
    <cellStyle name="40% - Accent6 2 2 6 2 2 3" xfId="16209"/>
    <cellStyle name="40% - Accent6 2 2 6 2 3" xfId="12279"/>
    <cellStyle name="40% - Accent6 2 2 6 2 3 2" xfId="20095"/>
    <cellStyle name="40% - Accent6 2 2 6 2 4" xfId="16208"/>
    <cellStyle name="40% - Accent6 2 2 6 3" xfId="3283"/>
    <cellStyle name="40% - Accent6 2 2 6 3 2" xfId="12281"/>
    <cellStyle name="40% - Accent6 2 2 6 3 2 2" xfId="20097"/>
    <cellStyle name="40% - Accent6 2 2 6 3 3" xfId="16210"/>
    <cellStyle name="40% - Accent6 2 2 6 4" xfId="12278"/>
    <cellStyle name="40% - Accent6 2 2 6 4 2" xfId="20094"/>
    <cellStyle name="40% - Accent6 2 2 6 5" xfId="16207"/>
    <cellStyle name="40% - Accent6 2 2 7" xfId="3284"/>
    <cellStyle name="40% - Accent6 2 2 7 2" xfId="3285"/>
    <cellStyle name="40% - Accent6 2 2 7 2 2" xfId="12283"/>
    <cellStyle name="40% - Accent6 2 2 7 2 2 2" xfId="20099"/>
    <cellStyle name="40% - Accent6 2 2 7 2 3" xfId="16212"/>
    <cellStyle name="40% - Accent6 2 2 7 3" xfId="12282"/>
    <cellStyle name="40% - Accent6 2 2 7 3 2" xfId="20098"/>
    <cellStyle name="40% - Accent6 2 2 7 4" xfId="16211"/>
    <cellStyle name="40% - Accent6 2 2 8" xfId="3286"/>
    <cellStyle name="40% - Accent6 2 2 8 2" xfId="12284"/>
    <cellStyle name="40% - Accent6 2 2 8 2 2" xfId="20100"/>
    <cellStyle name="40% - Accent6 2 2 8 3" xfId="16213"/>
    <cellStyle name="40% - Accent6 2 2 9" xfId="12213"/>
    <cellStyle name="40% - Accent6 2 2 9 2" xfId="20029"/>
    <cellStyle name="40% - Accent6 2 3" xfId="3287"/>
    <cellStyle name="40% - Accent6 2 3 2" xfId="3288"/>
    <cellStyle name="40% - Accent6 2 3 2 2" xfId="3289"/>
    <cellStyle name="40% - Accent6 2 3 2 2 2" xfId="3290"/>
    <cellStyle name="40% - Accent6 2 3 2 2 2 2" xfId="3291"/>
    <cellStyle name="40% - Accent6 2 3 2 2 2 2 2" xfId="12289"/>
    <cellStyle name="40% - Accent6 2 3 2 2 2 2 2 2" xfId="20105"/>
    <cellStyle name="40% - Accent6 2 3 2 2 2 2 3" xfId="16218"/>
    <cellStyle name="40% - Accent6 2 3 2 2 2 3" xfId="12288"/>
    <cellStyle name="40% - Accent6 2 3 2 2 2 3 2" xfId="20104"/>
    <cellStyle name="40% - Accent6 2 3 2 2 2 4" xfId="16217"/>
    <cellStyle name="40% - Accent6 2 3 2 2 3" xfId="3292"/>
    <cellStyle name="40% - Accent6 2 3 2 2 3 2" xfId="3293"/>
    <cellStyle name="40% - Accent6 2 3 2 2 3 2 2" xfId="12291"/>
    <cellStyle name="40% - Accent6 2 3 2 2 3 2 2 2" xfId="20107"/>
    <cellStyle name="40% - Accent6 2 3 2 2 3 2 3" xfId="16220"/>
    <cellStyle name="40% - Accent6 2 3 2 2 3 3" xfId="12290"/>
    <cellStyle name="40% - Accent6 2 3 2 2 3 3 2" xfId="20106"/>
    <cellStyle name="40% - Accent6 2 3 2 2 3 4" xfId="16219"/>
    <cellStyle name="40% - Accent6 2 3 2 2 4" xfId="3294"/>
    <cellStyle name="40% - Accent6 2 3 2 2 4 2" xfId="12292"/>
    <cellStyle name="40% - Accent6 2 3 2 2 4 2 2" xfId="20108"/>
    <cellStyle name="40% - Accent6 2 3 2 2 4 3" xfId="16221"/>
    <cellStyle name="40% - Accent6 2 3 2 2 5" xfId="12287"/>
    <cellStyle name="40% - Accent6 2 3 2 2 5 2" xfId="20103"/>
    <cellStyle name="40% - Accent6 2 3 2 2 6" xfId="16216"/>
    <cellStyle name="40% - Accent6 2 3 2 3" xfId="3295"/>
    <cellStyle name="40% - Accent6 2 3 2 3 2" xfId="3296"/>
    <cellStyle name="40% - Accent6 2 3 2 3 2 2" xfId="3297"/>
    <cellStyle name="40% - Accent6 2 3 2 3 2 2 2" xfId="12295"/>
    <cellStyle name="40% - Accent6 2 3 2 3 2 2 2 2" xfId="20111"/>
    <cellStyle name="40% - Accent6 2 3 2 3 2 2 3" xfId="16224"/>
    <cellStyle name="40% - Accent6 2 3 2 3 2 3" xfId="12294"/>
    <cellStyle name="40% - Accent6 2 3 2 3 2 3 2" xfId="20110"/>
    <cellStyle name="40% - Accent6 2 3 2 3 2 4" xfId="16223"/>
    <cellStyle name="40% - Accent6 2 3 2 3 3" xfId="3298"/>
    <cellStyle name="40% - Accent6 2 3 2 3 3 2" xfId="12296"/>
    <cellStyle name="40% - Accent6 2 3 2 3 3 2 2" xfId="20112"/>
    <cellStyle name="40% - Accent6 2 3 2 3 3 3" xfId="16225"/>
    <cellStyle name="40% - Accent6 2 3 2 3 4" xfId="12293"/>
    <cellStyle name="40% - Accent6 2 3 2 3 4 2" xfId="20109"/>
    <cellStyle name="40% - Accent6 2 3 2 3 5" xfId="16222"/>
    <cellStyle name="40% - Accent6 2 3 2 4" xfId="3299"/>
    <cellStyle name="40% - Accent6 2 3 2 4 2" xfId="3300"/>
    <cellStyle name="40% - Accent6 2 3 2 4 2 2" xfId="12298"/>
    <cellStyle name="40% - Accent6 2 3 2 4 2 2 2" xfId="20114"/>
    <cellStyle name="40% - Accent6 2 3 2 4 2 3" xfId="16227"/>
    <cellStyle name="40% - Accent6 2 3 2 4 3" xfId="12297"/>
    <cellStyle name="40% - Accent6 2 3 2 4 3 2" xfId="20113"/>
    <cellStyle name="40% - Accent6 2 3 2 4 4" xfId="16226"/>
    <cellStyle name="40% - Accent6 2 3 2 5" xfId="3301"/>
    <cellStyle name="40% - Accent6 2 3 2 5 2" xfId="12299"/>
    <cellStyle name="40% - Accent6 2 3 2 5 2 2" xfId="20115"/>
    <cellStyle name="40% - Accent6 2 3 2 5 3" xfId="16228"/>
    <cellStyle name="40% - Accent6 2 3 2 6" xfId="12286"/>
    <cellStyle name="40% - Accent6 2 3 2 6 2" xfId="20102"/>
    <cellStyle name="40% - Accent6 2 3 2 7" xfId="16215"/>
    <cellStyle name="40% - Accent6 2 3 3" xfId="3302"/>
    <cellStyle name="40% - Accent6 2 3 3 2" xfId="3303"/>
    <cellStyle name="40% - Accent6 2 3 3 2 2" xfId="3304"/>
    <cellStyle name="40% - Accent6 2 3 3 2 2 2" xfId="3305"/>
    <cellStyle name="40% - Accent6 2 3 3 2 2 2 2" xfId="12303"/>
    <cellStyle name="40% - Accent6 2 3 3 2 2 2 2 2" xfId="20119"/>
    <cellStyle name="40% - Accent6 2 3 3 2 2 2 3" xfId="16232"/>
    <cellStyle name="40% - Accent6 2 3 3 2 2 3" xfId="12302"/>
    <cellStyle name="40% - Accent6 2 3 3 2 2 3 2" xfId="20118"/>
    <cellStyle name="40% - Accent6 2 3 3 2 2 4" xfId="16231"/>
    <cellStyle name="40% - Accent6 2 3 3 2 3" xfId="3306"/>
    <cellStyle name="40% - Accent6 2 3 3 2 3 2" xfId="12304"/>
    <cellStyle name="40% - Accent6 2 3 3 2 3 2 2" xfId="20120"/>
    <cellStyle name="40% - Accent6 2 3 3 2 3 3" xfId="16233"/>
    <cellStyle name="40% - Accent6 2 3 3 2 4" xfId="12301"/>
    <cellStyle name="40% - Accent6 2 3 3 2 4 2" xfId="20117"/>
    <cellStyle name="40% - Accent6 2 3 3 2 5" xfId="16230"/>
    <cellStyle name="40% - Accent6 2 3 3 3" xfId="3307"/>
    <cellStyle name="40% - Accent6 2 3 3 3 2" xfId="3308"/>
    <cellStyle name="40% - Accent6 2 3 3 3 2 2" xfId="12306"/>
    <cellStyle name="40% - Accent6 2 3 3 3 2 2 2" xfId="20122"/>
    <cellStyle name="40% - Accent6 2 3 3 3 2 3" xfId="16235"/>
    <cellStyle name="40% - Accent6 2 3 3 3 3" xfId="12305"/>
    <cellStyle name="40% - Accent6 2 3 3 3 3 2" xfId="20121"/>
    <cellStyle name="40% - Accent6 2 3 3 3 4" xfId="16234"/>
    <cellStyle name="40% - Accent6 2 3 3 4" xfId="3309"/>
    <cellStyle name="40% - Accent6 2 3 3 4 2" xfId="3310"/>
    <cellStyle name="40% - Accent6 2 3 3 4 2 2" xfId="12308"/>
    <cellStyle name="40% - Accent6 2 3 3 4 2 2 2" xfId="20124"/>
    <cellStyle name="40% - Accent6 2 3 3 4 2 3" xfId="16237"/>
    <cellStyle name="40% - Accent6 2 3 3 4 3" xfId="12307"/>
    <cellStyle name="40% - Accent6 2 3 3 4 3 2" xfId="20123"/>
    <cellStyle name="40% - Accent6 2 3 3 4 4" xfId="16236"/>
    <cellStyle name="40% - Accent6 2 3 3 5" xfId="3311"/>
    <cellStyle name="40% - Accent6 2 3 3 5 2" xfId="12309"/>
    <cellStyle name="40% - Accent6 2 3 3 5 2 2" xfId="20125"/>
    <cellStyle name="40% - Accent6 2 3 3 5 3" xfId="16238"/>
    <cellStyle name="40% - Accent6 2 3 3 6" xfId="12300"/>
    <cellStyle name="40% - Accent6 2 3 3 6 2" xfId="20116"/>
    <cellStyle name="40% - Accent6 2 3 3 7" xfId="16229"/>
    <cellStyle name="40% - Accent6 2 3 4" xfId="3312"/>
    <cellStyle name="40% - Accent6 2 3 4 2" xfId="3313"/>
    <cellStyle name="40% - Accent6 2 3 4 2 2" xfId="3314"/>
    <cellStyle name="40% - Accent6 2 3 4 2 2 2" xfId="12312"/>
    <cellStyle name="40% - Accent6 2 3 4 2 2 2 2" xfId="20128"/>
    <cellStyle name="40% - Accent6 2 3 4 2 2 3" xfId="16241"/>
    <cellStyle name="40% - Accent6 2 3 4 2 3" xfId="12311"/>
    <cellStyle name="40% - Accent6 2 3 4 2 3 2" xfId="20127"/>
    <cellStyle name="40% - Accent6 2 3 4 2 4" xfId="16240"/>
    <cellStyle name="40% - Accent6 2 3 4 3" xfId="3315"/>
    <cellStyle name="40% - Accent6 2 3 4 3 2" xfId="12313"/>
    <cellStyle name="40% - Accent6 2 3 4 3 2 2" xfId="20129"/>
    <cellStyle name="40% - Accent6 2 3 4 3 3" xfId="16242"/>
    <cellStyle name="40% - Accent6 2 3 4 4" xfId="12310"/>
    <cellStyle name="40% - Accent6 2 3 4 4 2" xfId="20126"/>
    <cellStyle name="40% - Accent6 2 3 4 5" xfId="16239"/>
    <cellStyle name="40% - Accent6 2 3 5" xfId="3316"/>
    <cellStyle name="40% - Accent6 2 3 5 2" xfId="3317"/>
    <cellStyle name="40% - Accent6 2 3 5 2 2" xfId="12315"/>
    <cellStyle name="40% - Accent6 2 3 5 2 2 2" xfId="20131"/>
    <cellStyle name="40% - Accent6 2 3 5 2 3" xfId="16244"/>
    <cellStyle name="40% - Accent6 2 3 5 3" xfId="12314"/>
    <cellStyle name="40% - Accent6 2 3 5 3 2" xfId="20130"/>
    <cellStyle name="40% - Accent6 2 3 5 4" xfId="16243"/>
    <cellStyle name="40% - Accent6 2 3 6" xfId="3318"/>
    <cellStyle name="40% - Accent6 2 3 6 2" xfId="12316"/>
    <cellStyle name="40% - Accent6 2 3 6 2 2" xfId="20132"/>
    <cellStyle name="40% - Accent6 2 3 6 3" xfId="16245"/>
    <cellStyle name="40% - Accent6 2 3 7" xfId="12285"/>
    <cellStyle name="40% - Accent6 2 3 7 2" xfId="20101"/>
    <cellStyle name="40% - Accent6 2 3 8" xfId="16214"/>
    <cellStyle name="40% - Accent6 2 4" xfId="3319"/>
    <cellStyle name="40% - Accent6 2 4 2" xfId="3320"/>
    <cellStyle name="40% - Accent6 2 4 2 2" xfId="3321"/>
    <cellStyle name="40% - Accent6 2 4 2 2 2" xfId="3322"/>
    <cellStyle name="40% - Accent6 2 4 2 2 2 2" xfId="12320"/>
    <cellStyle name="40% - Accent6 2 4 2 2 2 2 2" xfId="20136"/>
    <cellStyle name="40% - Accent6 2 4 2 2 2 3" xfId="16249"/>
    <cellStyle name="40% - Accent6 2 4 2 2 3" xfId="12319"/>
    <cellStyle name="40% - Accent6 2 4 2 2 3 2" xfId="20135"/>
    <cellStyle name="40% - Accent6 2 4 2 2 4" xfId="16248"/>
    <cellStyle name="40% - Accent6 2 4 2 3" xfId="3323"/>
    <cellStyle name="40% - Accent6 2 4 2 3 2" xfId="3324"/>
    <cellStyle name="40% - Accent6 2 4 2 3 2 2" xfId="12322"/>
    <cellStyle name="40% - Accent6 2 4 2 3 2 2 2" xfId="20138"/>
    <cellStyle name="40% - Accent6 2 4 2 3 2 3" xfId="16251"/>
    <cellStyle name="40% - Accent6 2 4 2 3 3" xfId="12321"/>
    <cellStyle name="40% - Accent6 2 4 2 3 3 2" xfId="20137"/>
    <cellStyle name="40% - Accent6 2 4 2 3 4" xfId="16250"/>
    <cellStyle name="40% - Accent6 2 4 2 4" xfId="3325"/>
    <cellStyle name="40% - Accent6 2 4 2 4 2" xfId="12323"/>
    <cellStyle name="40% - Accent6 2 4 2 4 2 2" xfId="20139"/>
    <cellStyle name="40% - Accent6 2 4 2 4 3" xfId="16252"/>
    <cellStyle name="40% - Accent6 2 4 2 5" xfId="12318"/>
    <cellStyle name="40% - Accent6 2 4 2 5 2" xfId="20134"/>
    <cellStyle name="40% - Accent6 2 4 2 6" xfId="16247"/>
    <cellStyle name="40% - Accent6 2 4 3" xfId="3326"/>
    <cellStyle name="40% - Accent6 2 4 3 2" xfId="3327"/>
    <cellStyle name="40% - Accent6 2 4 3 2 2" xfId="3328"/>
    <cellStyle name="40% - Accent6 2 4 3 2 2 2" xfId="12326"/>
    <cellStyle name="40% - Accent6 2 4 3 2 2 2 2" xfId="20142"/>
    <cellStyle name="40% - Accent6 2 4 3 2 2 3" xfId="16255"/>
    <cellStyle name="40% - Accent6 2 4 3 2 3" xfId="12325"/>
    <cellStyle name="40% - Accent6 2 4 3 2 3 2" xfId="20141"/>
    <cellStyle name="40% - Accent6 2 4 3 2 4" xfId="16254"/>
    <cellStyle name="40% - Accent6 2 4 3 3" xfId="3329"/>
    <cellStyle name="40% - Accent6 2 4 3 3 2" xfId="12327"/>
    <cellStyle name="40% - Accent6 2 4 3 3 2 2" xfId="20143"/>
    <cellStyle name="40% - Accent6 2 4 3 3 3" xfId="16256"/>
    <cellStyle name="40% - Accent6 2 4 3 4" xfId="12324"/>
    <cellStyle name="40% - Accent6 2 4 3 4 2" xfId="20140"/>
    <cellStyle name="40% - Accent6 2 4 3 5" xfId="16253"/>
    <cellStyle name="40% - Accent6 2 4 4" xfId="3330"/>
    <cellStyle name="40% - Accent6 2 4 4 2" xfId="3331"/>
    <cellStyle name="40% - Accent6 2 4 4 2 2" xfId="12329"/>
    <cellStyle name="40% - Accent6 2 4 4 2 2 2" xfId="20145"/>
    <cellStyle name="40% - Accent6 2 4 4 2 3" xfId="16258"/>
    <cellStyle name="40% - Accent6 2 4 4 3" xfId="12328"/>
    <cellStyle name="40% - Accent6 2 4 4 3 2" xfId="20144"/>
    <cellStyle name="40% - Accent6 2 4 4 4" xfId="16257"/>
    <cellStyle name="40% - Accent6 2 4 5" xfId="3332"/>
    <cellStyle name="40% - Accent6 2 4 5 2" xfId="12330"/>
    <cellStyle name="40% - Accent6 2 4 5 2 2" xfId="20146"/>
    <cellStyle name="40% - Accent6 2 4 5 3" xfId="16259"/>
    <cellStyle name="40% - Accent6 2 4 6" xfId="12317"/>
    <cellStyle name="40% - Accent6 2 4 6 2" xfId="20133"/>
    <cellStyle name="40% - Accent6 2 4 7" xfId="16246"/>
    <cellStyle name="40% - Accent6 2 5" xfId="3333"/>
    <cellStyle name="40% - Accent6 2 5 2" xfId="3334"/>
    <cellStyle name="40% - Accent6 2 5 2 2" xfId="3335"/>
    <cellStyle name="40% - Accent6 2 5 2 2 2" xfId="3336"/>
    <cellStyle name="40% - Accent6 2 5 2 2 2 2" xfId="12334"/>
    <cellStyle name="40% - Accent6 2 5 2 2 2 2 2" xfId="20150"/>
    <cellStyle name="40% - Accent6 2 5 2 2 2 3" xfId="16263"/>
    <cellStyle name="40% - Accent6 2 5 2 2 3" xfId="12333"/>
    <cellStyle name="40% - Accent6 2 5 2 2 3 2" xfId="20149"/>
    <cellStyle name="40% - Accent6 2 5 2 2 4" xfId="16262"/>
    <cellStyle name="40% - Accent6 2 5 2 3" xfId="3337"/>
    <cellStyle name="40% - Accent6 2 5 2 3 2" xfId="12335"/>
    <cellStyle name="40% - Accent6 2 5 2 3 2 2" xfId="20151"/>
    <cellStyle name="40% - Accent6 2 5 2 3 3" xfId="16264"/>
    <cellStyle name="40% - Accent6 2 5 2 4" xfId="12332"/>
    <cellStyle name="40% - Accent6 2 5 2 4 2" xfId="20148"/>
    <cellStyle name="40% - Accent6 2 5 2 5" xfId="16261"/>
    <cellStyle name="40% - Accent6 2 5 3" xfId="3338"/>
    <cellStyle name="40% - Accent6 2 5 3 2" xfId="3339"/>
    <cellStyle name="40% - Accent6 2 5 3 2 2" xfId="12337"/>
    <cellStyle name="40% - Accent6 2 5 3 2 2 2" xfId="20153"/>
    <cellStyle name="40% - Accent6 2 5 3 2 3" xfId="16266"/>
    <cellStyle name="40% - Accent6 2 5 3 3" xfId="12336"/>
    <cellStyle name="40% - Accent6 2 5 3 3 2" xfId="20152"/>
    <cellStyle name="40% - Accent6 2 5 3 4" xfId="16265"/>
    <cellStyle name="40% - Accent6 2 5 4" xfId="3340"/>
    <cellStyle name="40% - Accent6 2 5 4 2" xfId="12338"/>
    <cellStyle name="40% - Accent6 2 5 4 2 2" xfId="20154"/>
    <cellStyle name="40% - Accent6 2 5 4 3" xfId="16267"/>
    <cellStyle name="40% - Accent6 2 5 5" xfId="12331"/>
    <cellStyle name="40% - Accent6 2 5 5 2" xfId="20147"/>
    <cellStyle name="40% - Accent6 2 5 6" xfId="16260"/>
    <cellStyle name="40% - Accent6 2 6" xfId="3341"/>
    <cellStyle name="40% - Accent6 2 6 2" xfId="3342"/>
    <cellStyle name="40% - Accent6 2 6 2 2" xfId="3343"/>
    <cellStyle name="40% - Accent6 2 6 2 2 2" xfId="3344"/>
    <cellStyle name="40% - Accent6 2 6 2 2 2 2" xfId="12342"/>
    <cellStyle name="40% - Accent6 2 6 2 2 2 2 2" xfId="20158"/>
    <cellStyle name="40% - Accent6 2 6 2 2 2 3" xfId="16271"/>
    <cellStyle name="40% - Accent6 2 6 2 2 3" xfId="12341"/>
    <cellStyle name="40% - Accent6 2 6 2 2 3 2" xfId="20157"/>
    <cellStyle name="40% - Accent6 2 6 2 2 4" xfId="16270"/>
    <cellStyle name="40% - Accent6 2 6 2 3" xfId="3345"/>
    <cellStyle name="40% - Accent6 2 6 2 3 2" xfId="12343"/>
    <cellStyle name="40% - Accent6 2 6 2 3 2 2" xfId="20159"/>
    <cellStyle name="40% - Accent6 2 6 2 3 3" xfId="16272"/>
    <cellStyle name="40% - Accent6 2 6 2 4" xfId="12340"/>
    <cellStyle name="40% - Accent6 2 6 2 4 2" xfId="20156"/>
    <cellStyle name="40% - Accent6 2 6 2 5" xfId="16269"/>
    <cellStyle name="40% - Accent6 2 6 3" xfId="3346"/>
    <cellStyle name="40% - Accent6 2 6 3 2" xfId="3347"/>
    <cellStyle name="40% - Accent6 2 6 3 2 2" xfId="12345"/>
    <cellStyle name="40% - Accent6 2 6 3 2 2 2" xfId="20161"/>
    <cellStyle name="40% - Accent6 2 6 3 2 3" xfId="16274"/>
    <cellStyle name="40% - Accent6 2 6 3 3" xfId="12344"/>
    <cellStyle name="40% - Accent6 2 6 3 3 2" xfId="20160"/>
    <cellStyle name="40% - Accent6 2 6 3 4" xfId="16273"/>
    <cellStyle name="40% - Accent6 2 6 4" xfId="3348"/>
    <cellStyle name="40% - Accent6 2 6 4 2" xfId="12346"/>
    <cellStyle name="40% - Accent6 2 6 4 2 2" xfId="20162"/>
    <cellStyle name="40% - Accent6 2 6 4 3" xfId="16275"/>
    <cellStyle name="40% - Accent6 2 6 5" xfId="12339"/>
    <cellStyle name="40% - Accent6 2 6 5 2" xfId="20155"/>
    <cellStyle name="40% - Accent6 2 6 6" xfId="16268"/>
    <cellStyle name="40% - Accent6 2 7" xfId="3349"/>
    <cellStyle name="40% - Accent6 2 7 2" xfId="3350"/>
    <cellStyle name="40% - Accent6 2 7 2 2" xfId="3351"/>
    <cellStyle name="40% - Accent6 2 7 2 2 2" xfId="12349"/>
    <cellStyle name="40% - Accent6 2 7 2 2 2 2" xfId="20165"/>
    <cellStyle name="40% - Accent6 2 7 2 2 3" xfId="16278"/>
    <cellStyle name="40% - Accent6 2 7 2 3" xfId="12348"/>
    <cellStyle name="40% - Accent6 2 7 2 3 2" xfId="20164"/>
    <cellStyle name="40% - Accent6 2 7 2 4" xfId="16277"/>
    <cellStyle name="40% - Accent6 2 7 3" xfId="3352"/>
    <cellStyle name="40% - Accent6 2 7 3 2" xfId="12350"/>
    <cellStyle name="40% - Accent6 2 7 3 2 2" xfId="20166"/>
    <cellStyle name="40% - Accent6 2 7 3 3" xfId="16279"/>
    <cellStyle name="40% - Accent6 2 7 4" xfId="12347"/>
    <cellStyle name="40% - Accent6 2 7 4 2" xfId="20163"/>
    <cellStyle name="40% - Accent6 2 7 5" xfId="16276"/>
    <cellStyle name="40% - Accent6 2 8" xfId="3353"/>
    <cellStyle name="40% - Accent6 2 8 2" xfId="3354"/>
    <cellStyle name="40% - Accent6 2 8 2 2" xfId="12352"/>
    <cellStyle name="40% - Accent6 2 8 2 2 2" xfId="20168"/>
    <cellStyle name="40% - Accent6 2 8 2 3" xfId="16281"/>
    <cellStyle name="40% - Accent6 2 8 3" xfId="12351"/>
    <cellStyle name="40% - Accent6 2 8 3 2" xfId="20167"/>
    <cellStyle name="40% - Accent6 2 8 4" xfId="16280"/>
    <cellStyle name="40% - Accent6 2 9" xfId="3355"/>
    <cellStyle name="40% - Accent6 2 9 2" xfId="3356"/>
    <cellStyle name="40% - Accent6 2 9 2 2" xfId="12354"/>
    <cellStyle name="40% - Accent6 2 9 2 2 2" xfId="20170"/>
    <cellStyle name="40% - Accent6 2 9 2 3" xfId="16283"/>
    <cellStyle name="40% - Accent6 2 9 3" xfId="12353"/>
    <cellStyle name="40% - Accent6 2 9 3 2" xfId="20169"/>
    <cellStyle name="40% - Accent6 2 9 4" xfId="16282"/>
    <cellStyle name="40% - Accent6 3" xfId="3357"/>
    <cellStyle name="40% - Accent6 3 2" xfId="3358"/>
    <cellStyle name="40% - Accent6 3 2 2" xfId="3359"/>
    <cellStyle name="40% - Accent6 3 2 2 2" xfId="3360"/>
    <cellStyle name="40% - Accent6 3 2 2 2 2" xfId="3361"/>
    <cellStyle name="40% - Accent6 3 2 2 2 2 2" xfId="3362"/>
    <cellStyle name="40% - Accent6 3 2 2 2 2 2 2" xfId="12359"/>
    <cellStyle name="40% - Accent6 3 2 2 2 2 2 2 2" xfId="20175"/>
    <cellStyle name="40% - Accent6 3 2 2 2 2 2 3" xfId="16288"/>
    <cellStyle name="40% - Accent6 3 2 2 2 2 3" xfId="12358"/>
    <cellStyle name="40% - Accent6 3 2 2 2 2 3 2" xfId="20174"/>
    <cellStyle name="40% - Accent6 3 2 2 2 2 4" xfId="16287"/>
    <cellStyle name="40% - Accent6 3 2 2 2 3" xfId="3363"/>
    <cellStyle name="40% - Accent6 3 2 2 2 3 2" xfId="3364"/>
    <cellStyle name="40% - Accent6 3 2 2 2 3 2 2" xfId="12361"/>
    <cellStyle name="40% - Accent6 3 2 2 2 3 2 2 2" xfId="20177"/>
    <cellStyle name="40% - Accent6 3 2 2 2 3 2 3" xfId="16290"/>
    <cellStyle name="40% - Accent6 3 2 2 2 3 3" xfId="12360"/>
    <cellStyle name="40% - Accent6 3 2 2 2 3 3 2" xfId="20176"/>
    <cellStyle name="40% - Accent6 3 2 2 2 3 4" xfId="16289"/>
    <cellStyle name="40% - Accent6 3 2 2 2 4" xfId="3365"/>
    <cellStyle name="40% - Accent6 3 2 2 2 4 2" xfId="12362"/>
    <cellStyle name="40% - Accent6 3 2 2 2 4 2 2" xfId="20178"/>
    <cellStyle name="40% - Accent6 3 2 2 2 4 3" xfId="16291"/>
    <cellStyle name="40% - Accent6 3 2 2 2 5" xfId="12357"/>
    <cellStyle name="40% - Accent6 3 2 2 2 5 2" xfId="20173"/>
    <cellStyle name="40% - Accent6 3 2 2 2 6" xfId="16286"/>
    <cellStyle name="40% - Accent6 3 2 2 3" xfId="3366"/>
    <cellStyle name="40% - Accent6 3 2 2 3 2" xfId="3367"/>
    <cellStyle name="40% - Accent6 3 2 2 3 2 2" xfId="3368"/>
    <cellStyle name="40% - Accent6 3 2 2 3 2 2 2" xfId="12365"/>
    <cellStyle name="40% - Accent6 3 2 2 3 2 2 2 2" xfId="20181"/>
    <cellStyle name="40% - Accent6 3 2 2 3 2 2 3" xfId="16294"/>
    <cellStyle name="40% - Accent6 3 2 2 3 2 3" xfId="12364"/>
    <cellStyle name="40% - Accent6 3 2 2 3 2 3 2" xfId="20180"/>
    <cellStyle name="40% - Accent6 3 2 2 3 2 4" xfId="16293"/>
    <cellStyle name="40% - Accent6 3 2 2 3 3" xfId="3369"/>
    <cellStyle name="40% - Accent6 3 2 2 3 3 2" xfId="12366"/>
    <cellStyle name="40% - Accent6 3 2 2 3 3 2 2" xfId="20182"/>
    <cellStyle name="40% - Accent6 3 2 2 3 3 3" xfId="16295"/>
    <cellStyle name="40% - Accent6 3 2 2 3 4" xfId="12363"/>
    <cellStyle name="40% - Accent6 3 2 2 3 4 2" xfId="20179"/>
    <cellStyle name="40% - Accent6 3 2 2 3 5" xfId="16292"/>
    <cellStyle name="40% - Accent6 3 2 2 4" xfId="3370"/>
    <cellStyle name="40% - Accent6 3 2 2 4 2" xfId="3371"/>
    <cellStyle name="40% - Accent6 3 2 2 4 2 2" xfId="12368"/>
    <cellStyle name="40% - Accent6 3 2 2 4 2 2 2" xfId="20184"/>
    <cellStyle name="40% - Accent6 3 2 2 4 2 3" xfId="16297"/>
    <cellStyle name="40% - Accent6 3 2 2 4 3" xfId="12367"/>
    <cellStyle name="40% - Accent6 3 2 2 4 3 2" xfId="20183"/>
    <cellStyle name="40% - Accent6 3 2 2 4 4" xfId="16296"/>
    <cellStyle name="40% - Accent6 3 2 2 5" xfId="3372"/>
    <cellStyle name="40% - Accent6 3 2 2 5 2" xfId="12369"/>
    <cellStyle name="40% - Accent6 3 2 2 5 2 2" xfId="20185"/>
    <cellStyle name="40% - Accent6 3 2 2 5 3" xfId="16298"/>
    <cellStyle name="40% - Accent6 3 2 2 6" xfId="12356"/>
    <cellStyle name="40% - Accent6 3 2 2 6 2" xfId="20172"/>
    <cellStyle name="40% - Accent6 3 2 2 7" xfId="16285"/>
    <cellStyle name="40% - Accent6 3 2 3" xfId="3373"/>
    <cellStyle name="40% - Accent6 3 2 3 2" xfId="3374"/>
    <cellStyle name="40% - Accent6 3 2 3 2 2" xfId="3375"/>
    <cellStyle name="40% - Accent6 3 2 3 2 2 2" xfId="3376"/>
    <cellStyle name="40% - Accent6 3 2 3 2 2 2 2" xfId="12373"/>
    <cellStyle name="40% - Accent6 3 2 3 2 2 2 2 2" xfId="20189"/>
    <cellStyle name="40% - Accent6 3 2 3 2 2 2 3" xfId="16302"/>
    <cellStyle name="40% - Accent6 3 2 3 2 2 3" xfId="12372"/>
    <cellStyle name="40% - Accent6 3 2 3 2 2 3 2" xfId="20188"/>
    <cellStyle name="40% - Accent6 3 2 3 2 2 4" xfId="16301"/>
    <cellStyle name="40% - Accent6 3 2 3 2 3" xfId="3377"/>
    <cellStyle name="40% - Accent6 3 2 3 2 3 2" xfId="12374"/>
    <cellStyle name="40% - Accent6 3 2 3 2 3 2 2" xfId="20190"/>
    <cellStyle name="40% - Accent6 3 2 3 2 3 3" xfId="16303"/>
    <cellStyle name="40% - Accent6 3 2 3 2 4" xfId="12371"/>
    <cellStyle name="40% - Accent6 3 2 3 2 4 2" xfId="20187"/>
    <cellStyle name="40% - Accent6 3 2 3 2 5" xfId="16300"/>
    <cellStyle name="40% - Accent6 3 2 3 3" xfId="3378"/>
    <cellStyle name="40% - Accent6 3 2 3 3 2" xfId="3379"/>
    <cellStyle name="40% - Accent6 3 2 3 3 2 2" xfId="12376"/>
    <cellStyle name="40% - Accent6 3 2 3 3 2 2 2" xfId="20192"/>
    <cellStyle name="40% - Accent6 3 2 3 3 2 3" xfId="16305"/>
    <cellStyle name="40% - Accent6 3 2 3 3 3" xfId="12375"/>
    <cellStyle name="40% - Accent6 3 2 3 3 3 2" xfId="20191"/>
    <cellStyle name="40% - Accent6 3 2 3 3 4" xfId="16304"/>
    <cellStyle name="40% - Accent6 3 2 3 4" xfId="3380"/>
    <cellStyle name="40% - Accent6 3 2 3 4 2" xfId="3381"/>
    <cellStyle name="40% - Accent6 3 2 3 4 2 2" xfId="12378"/>
    <cellStyle name="40% - Accent6 3 2 3 4 2 2 2" xfId="20194"/>
    <cellStyle name="40% - Accent6 3 2 3 4 2 3" xfId="16307"/>
    <cellStyle name="40% - Accent6 3 2 3 4 3" xfId="12377"/>
    <cellStyle name="40% - Accent6 3 2 3 4 3 2" xfId="20193"/>
    <cellStyle name="40% - Accent6 3 2 3 4 4" xfId="16306"/>
    <cellStyle name="40% - Accent6 3 2 3 5" xfId="3382"/>
    <cellStyle name="40% - Accent6 3 2 3 5 2" xfId="12379"/>
    <cellStyle name="40% - Accent6 3 2 3 5 2 2" xfId="20195"/>
    <cellStyle name="40% - Accent6 3 2 3 5 3" xfId="16308"/>
    <cellStyle name="40% - Accent6 3 2 3 6" xfId="12370"/>
    <cellStyle name="40% - Accent6 3 2 3 6 2" xfId="20186"/>
    <cellStyle name="40% - Accent6 3 2 3 7" xfId="16299"/>
    <cellStyle name="40% - Accent6 3 2 4" xfId="3383"/>
    <cellStyle name="40% - Accent6 3 2 4 2" xfId="3384"/>
    <cellStyle name="40% - Accent6 3 2 4 2 2" xfId="3385"/>
    <cellStyle name="40% - Accent6 3 2 4 2 2 2" xfId="12382"/>
    <cellStyle name="40% - Accent6 3 2 4 2 2 2 2" xfId="20198"/>
    <cellStyle name="40% - Accent6 3 2 4 2 2 3" xfId="16311"/>
    <cellStyle name="40% - Accent6 3 2 4 2 3" xfId="12381"/>
    <cellStyle name="40% - Accent6 3 2 4 2 3 2" xfId="20197"/>
    <cellStyle name="40% - Accent6 3 2 4 2 4" xfId="16310"/>
    <cellStyle name="40% - Accent6 3 2 4 3" xfId="3386"/>
    <cellStyle name="40% - Accent6 3 2 4 3 2" xfId="12383"/>
    <cellStyle name="40% - Accent6 3 2 4 3 2 2" xfId="20199"/>
    <cellStyle name="40% - Accent6 3 2 4 3 3" xfId="16312"/>
    <cellStyle name="40% - Accent6 3 2 4 4" xfId="12380"/>
    <cellStyle name="40% - Accent6 3 2 4 4 2" xfId="20196"/>
    <cellStyle name="40% - Accent6 3 2 4 5" xfId="16309"/>
    <cellStyle name="40% - Accent6 3 2 5" xfId="3387"/>
    <cellStyle name="40% - Accent6 3 2 5 2" xfId="3388"/>
    <cellStyle name="40% - Accent6 3 2 5 2 2" xfId="12385"/>
    <cellStyle name="40% - Accent6 3 2 5 2 2 2" xfId="20201"/>
    <cellStyle name="40% - Accent6 3 2 5 2 3" xfId="16314"/>
    <cellStyle name="40% - Accent6 3 2 5 3" xfId="12384"/>
    <cellStyle name="40% - Accent6 3 2 5 3 2" xfId="20200"/>
    <cellStyle name="40% - Accent6 3 2 5 4" xfId="16313"/>
    <cellStyle name="40% - Accent6 3 2 6" xfId="3389"/>
    <cellStyle name="40% - Accent6 3 2 6 2" xfId="12386"/>
    <cellStyle name="40% - Accent6 3 2 6 2 2" xfId="20202"/>
    <cellStyle name="40% - Accent6 3 2 6 3" xfId="16315"/>
    <cellStyle name="40% - Accent6 3 2 7" xfId="12355"/>
    <cellStyle name="40% - Accent6 3 2 7 2" xfId="20171"/>
    <cellStyle name="40% - Accent6 3 2 8" xfId="16284"/>
    <cellStyle name="40% - Accent6 3 3" xfId="3390"/>
    <cellStyle name="40% - Accent6 3 3 2" xfId="3391"/>
    <cellStyle name="40% - Accent6 3 3 2 2" xfId="3392"/>
    <cellStyle name="40% - Accent6 3 3 2 2 2" xfId="3393"/>
    <cellStyle name="40% - Accent6 3 3 2 2 2 2" xfId="12390"/>
    <cellStyle name="40% - Accent6 3 3 2 2 2 2 2" xfId="20206"/>
    <cellStyle name="40% - Accent6 3 3 2 2 2 3" xfId="16319"/>
    <cellStyle name="40% - Accent6 3 3 2 2 3" xfId="12389"/>
    <cellStyle name="40% - Accent6 3 3 2 2 3 2" xfId="20205"/>
    <cellStyle name="40% - Accent6 3 3 2 2 4" xfId="16318"/>
    <cellStyle name="40% - Accent6 3 3 2 3" xfId="3394"/>
    <cellStyle name="40% - Accent6 3 3 2 3 2" xfId="3395"/>
    <cellStyle name="40% - Accent6 3 3 2 3 2 2" xfId="12392"/>
    <cellStyle name="40% - Accent6 3 3 2 3 2 2 2" xfId="20208"/>
    <cellStyle name="40% - Accent6 3 3 2 3 2 3" xfId="16321"/>
    <cellStyle name="40% - Accent6 3 3 2 3 3" xfId="12391"/>
    <cellStyle name="40% - Accent6 3 3 2 3 3 2" xfId="20207"/>
    <cellStyle name="40% - Accent6 3 3 2 3 4" xfId="16320"/>
    <cellStyle name="40% - Accent6 3 3 2 4" xfId="3396"/>
    <cellStyle name="40% - Accent6 3 3 2 4 2" xfId="12393"/>
    <cellStyle name="40% - Accent6 3 3 2 4 2 2" xfId="20209"/>
    <cellStyle name="40% - Accent6 3 3 2 4 3" xfId="16322"/>
    <cellStyle name="40% - Accent6 3 3 2 5" xfId="12388"/>
    <cellStyle name="40% - Accent6 3 3 2 5 2" xfId="20204"/>
    <cellStyle name="40% - Accent6 3 3 2 6" xfId="16317"/>
    <cellStyle name="40% - Accent6 3 3 3" xfId="3397"/>
    <cellStyle name="40% - Accent6 3 3 3 2" xfId="3398"/>
    <cellStyle name="40% - Accent6 3 3 3 2 2" xfId="3399"/>
    <cellStyle name="40% - Accent6 3 3 3 2 2 2" xfId="12396"/>
    <cellStyle name="40% - Accent6 3 3 3 2 2 2 2" xfId="20212"/>
    <cellStyle name="40% - Accent6 3 3 3 2 2 3" xfId="16325"/>
    <cellStyle name="40% - Accent6 3 3 3 2 3" xfId="12395"/>
    <cellStyle name="40% - Accent6 3 3 3 2 3 2" xfId="20211"/>
    <cellStyle name="40% - Accent6 3 3 3 2 4" xfId="16324"/>
    <cellStyle name="40% - Accent6 3 3 3 3" xfId="3400"/>
    <cellStyle name="40% - Accent6 3 3 3 3 2" xfId="12397"/>
    <cellStyle name="40% - Accent6 3 3 3 3 2 2" xfId="20213"/>
    <cellStyle name="40% - Accent6 3 3 3 3 3" xfId="16326"/>
    <cellStyle name="40% - Accent6 3 3 3 4" xfId="12394"/>
    <cellStyle name="40% - Accent6 3 3 3 4 2" xfId="20210"/>
    <cellStyle name="40% - Accent6 3 3 3 5" xfId="16323"/>
    <cellStyle name="40% - Accent6 3 3 4" xfId="3401"/>
    <cellStyle name="40% - Accent6 3 3 4 2" xfId="3402"/>
    <cellStyle name="40% - Accent6 3 3 4 2 2" xfId="12399"/>
    <cellStyle name="40% - Accent6 3 3 4 2 2 2" xfId="20215"/>
    <cellStyle name="40% - Accent6 3 3 4 2 3" xfId="16328"/>
    <cellStyle name="40% - Accent6 3 3 4 3" xfId="12398"/>
    <cellStyle name="40% - Accent6 3 3 4 3 2" xfId="20214"/>
    <cellStyle name="40% - Accent6 3 3 4 4" xfId="16327"/>
    <cellStyle name="40% - Accent6 3 3 5" xfId="3403"/>
    <cellStyle name="40% - Accent6 3 3 5 2" xfId="12400"/>
    <cellStyle name="40% - Accent6 3 3 5 2 2" xfId="20216"/>
    <cellStyle name="40% - Accent6 3 3 5 3" xfId="16329"/>
    <cellStyle name="40% - Accent6 3 3 6" xfId="12387"/>
    <cellStyle name="40% - Accent6 3 3 6 2" xfId="20203"/>
    <cellStyle name="40% - Accent6 3 3 7" xfId="16316"/>
    <cellStyle name="40% - Accent6 3 4" xfId="3404"/>
    <cellStyle name="40% - Accent6 3 4 2" xfId="3405"/>
    <cellStyle name="40% - Accent6 3 4 2 2" xfId="3406"/>
    <cellStyle name="40% - Accent6 3 4 2 2 2" xfId="3407"/>
    <cellStyle name="40% - Accent6 3 4 2 2 2 2" xfId="12404"/>
    <cellStyle name="40% - Accent6 3 4 2 2 2 2 2" xfId="20220"/>
    <cellStyle name="40% - Accent6 3 4 2 2 2 3" xfId="16333"/>
    <cellStyle name="40% - Accent6 3 4 2 2 3" xfId="12403"/>
    <cellStyle name="40% - Accent6 3 4 2 2 3 2" xfId="20219"/>
    <cellStyle name="40% - Accent6 3 4 2 2 4" xfId="16332"/>
    <cellStyle name="40% - Accent6 3 4 2 3" xfId="3408"/>
    <cellStyle name="40% - Accent6 3 4 2 3 2" xfId="12405"/>
    <cellStyle name="40% - Accent6 3 4 2 3 2 2" xfId="20221"/>
    <cellStyle name="40% - Accent6 3 4 2 3 3" xfId="16334"/>
    <cellStyle name="40% - Accent6 3 4 2 4" xfId="12402"/>
    <cellStyle name="40% - Accent6 3 4 2 4 2" xfId="20218"/>
    <cellStyle name="40% - Accent6 3 4 2 5" xfId="16331"/>
    <cellStyle name="40% - Accent6 3 4 3" xfId="3409"/>
    <cellStyle name="40% - Accent6 3 4 3 2" xfId="3410"/>
    <cellStyle name="40% - Accent6 3 4 3 2 2" xfId="12407"/>
    <cellStyle name="40% - Accent6 3 4 3 2 2 2" xfId="20223"/>
    <cellStyle name="40% - Accent6 3 4 3 2 3" xfId="16336"/>
    <cellStyle name="40% - Accent6 3 4 3 3" xfId="12406"/>
    <cellStyle name="40% - Accent6 3 4 3 3 2" xfId="20222"/>
    <cellStyle name="40% - Accent6 3 4 3 4" xfId="16335"/>
    <cellStyle name="40% - Accent6 3 4 4" xfId="3411"/>
    <cellStyle name="40% - Accent6 3 4 4 2" xfId="12408"/>
    <cellStyle name="40% - Accent6 3 4 4 2 2" xfId="20224"/>
    <cellStyle name="40% - Accent6 3 4 4 3" xfId="16337"/>
    <cellStyle name="40% - Accent6 3 4 5" xfId="12401"/>
    <cellStyle name="40% - Accent6 3 4 5 2" xfId="20217"/>
    <cellStyle name="40% - Accent6 3 4 6" xfId="16330"/>
    <cellStyle name="40% - Accent6 3 5" xfId="3412"/>
    <cellStyle name="40% - Accent6 3 5 2" xfId="3413"/>
    <cellStyle name="40% - Accent6 3 5 2 2" xfId="3414"/>
    <cellStyle name="40% - Accent6 3 5 2 2 2" xfId="3415"/>
    <cellStyle name="40% - Accent6 3 5 2 2 2 2" xfId="12412"/>
    <cellStyle name="40% - Accent6 3 5 2 2 2 2 2" xfId="20228"/>
    <cellStyle name="40% - Accent6 3 5 2 2 2 3" xfId="16341"/>
    <cellStyle name="40% - Accent6 3 5 2 2 3" xfId="12411"/>
    <cellStyle name="40% - Accent6 3 5 2 2 3 2" xfId="20227"/>
    <cellStyle name="40% - Accent6 3 5 2 2 4" xfId="16340"/>
    <cellStyle name="40% - Accent6 3 5 2 3" xfId="3416"/>
    <cellStyle name="40% - Accent6 3 5 2 3 2" xfId="12413"/>
    <cellStyle name="40% - Accent6 3 5 2 3 2 2" xfId="20229"/>
    <cellStyle name="40% - Accent6 3 5 2 3 3" xfId="16342"/>
    <cellStyle name="40% - Accent6 3 5 2 4" xfId="12410"/>
    <cellStyle name="40% - Accent6 3 5 2 4 2" xfId="20226"/>
    <cellStyle name="40% - Accent6 3 5 2 5" xfId="16339"/>
    <cellStyle name="40% - Accent6 3 5 3" xfId="3417"/>
    <cellStyle name="40% - Accent6 3 5 3 2" xfId="3418"/>
    <cellStyle name="40% - Accent6 3 5 3 2 2" xfId="12415"/>
    <cellStyle name="40% - Accent6 3 5 3 2 2 2" xfId="20231"/>
    <cellStyle name="40% - Accent6 3 5 3 2 3" xfId="16344"/>
    <cellStyle name="40% - Accent6 3 5 3 3" xfId="12414"/>
    <cellStyle name="40% - Accent6 3 5 3 3 2" xfId="20230"/>
    <cellStyle name="40% - Accent6 3 5 3 4" xfId="16343"/>
    <cellStyle name="40% - Accent6 3 5 4" xfId="3419"/>
    <cellStyle name="40% - Accent6 3 5 4 2" xfId="3420"/>
    <cellStyle name="40% - Accent6 3 5 4 2 2" xfId="12417"/>
    <cellStyle name="40% - Accent6 3 5 4 2 2 2" xfId="20233"/>
    <cellStyle name="40% - Accent6 3 5 4 2 3" xfId="16346"/>
    <cellStyle name="40% - Accent6 3 5 4 3" xfId="12416"/>
    <cellStyle name="40% - Accent6 3 5 4 3 2" xfId="20232"/>
    <cellStyle name="40% - Accent6 3 5 4 4" xfId="16345"/>
    <cellStyle name="40% - Accent6 3 5 5" xfId="3421"/>
    <cellStyle name="40% - Accent6 3 5 5 2" xfId="12418"/>
    <cellStyle name="40% - Accent6 3 5 5 2 2" xfId="20234"/>
    <cellStyle name="40% - Accent6 3 5 5 3" xfId="16347"/>
    <cellStyle name="40% - Accent6 3 5 6" xfId="12409"/>
    <cellStyle name="40% - Accent6 3 5 6 2" xfId="20225"/>
    <cellStyle name="40% - Accent6 3 5 7" xfId="16338"/>
    <cellStyle name="40% - Accent6 3 6" xfId="3422"/>
    <cellStyle name="40% - Accent6 3 6 2" xfId="3423"/>
    <cellStyle name="40% - Accent6 3 6 2 2" xfId="3424"/>
    <cellStyle name="40% - Accent6 3 6 2 2 2" xfId="12421"/>
    <cellStyle name="40% - Accent6 3 6 2 2 2 2" xfId="20237"/>
    <cellStyle name="40% - Accent6 3 6 2 2 3" xfId="16350"/>
    <cellStyle name="40% - Accent6 3 6 2 3" xfId="12420"/>
    <cellStyle name="40% - Accent6 3 6 2 3 2" xfId="20236"/>
    <cellStyle name="40% - Accent6 3 6 2 4" xfId="16349"/>
    <cellStyle name="40% - Accent6 3 6 3" xfId="3425"/>
    <cellStyle name="40% - Accent6 3 6 3 2" xfId="12422"/>
    <cellStyle name="40% - Accent6 3 6 3 2 2" xfId="20238"/>
    <cellStyle name="40% - Accent6 3 6 3 3" xfId="16351"/>
    <cellStyle name="40% - Accent6 3 6 4" xfId="12419"/>
    <cellStyle name="40% - Accent6 3 6 4 2" xfId="20235"/>
    <cellStyle name="40% - Accent6 3 6 5" xfId="16348"/>
    <cellStyle name="40% - Accent6 3 7" xfId="3426"/>
    <cellStyle name="40% - Accent6 3 7 2" xfId="3427"/>
    <cellStyle name="40% - Accent6 3 7 2 2" xfId="12424"/>
    <cellStyle name="40% - Accent6 3 7 2 2 2" xfId="20240"/>
    <cellStyle name="40% - Accent6 3 7 2 3" xfId="16353"/>
    <cellStyle name="40% - Accent6 3 7 3" xfId="12423"/>
    <cellStyle name="40% - Accent6 3 7 3 2" xfId="20239"/>
    <cellStyle name="40% - Accent6 3 7 4" xfId="16352"/>
    <cellStyle name="40% - Accent6 3 8" xfId="3428"/>
    <cellStyle name="40% - Accent6 3 8 2" xfId="12425"/>
    <cellStyle name="40% - Accent6 3 8 2 2" xfId="20241"/>
    <cellStyle name="40% - Accent6 3 8 3" xfId="16354"/>
    <cellStyle name="40% - Accent6 3 9" xfId="3429"/>
    <cellStyle name="40% - Accent6 3 9 2" xfId="12426"/>
    <cellStyle name="40% - Accent6 3 9 2 2" xfId="20242"/>
    <cellStyle name="40% - Accent6 3 9 3" xfId="16355"/>
    <cellStyle name="40% - Accent6 4" xfId="3430"/>
    <cellStyle name="40% - Accent6 4 2" xfId="3431"/>
    <cellStyle name="40% - Accent6 4 2 2" xfId="3432"/>
    <cellStyle name="40% - Accent6 4 2 2 2" xfId="3433"/>
    <cellStyle name="40% - Accent6 4 2 2 2 2" xfId="3434"/>
    <cellStyle name="40% - Accent6 4 2 2 2 2 2" xfId="12431"/>
    <cellStyle name="40% - Accent6 4 2 2 2 2 2 2" xfId="20247"/>
    <cellStyle name="40% - Accent6 4 2 2 2 2 3" xfId="16360"/>
    <cellStyle name="40% - Accent6 4 2 2 2 3" xfId="12430"/>
    <cellStyle name="40% - Accent6 4 2 2 2 3 2" xfId="20246"/>
    <cellStyle name="40% - Accent6 4 2 2 2 4" xfId="16359"/>
    <cellStyle name="40% - Accent6 4 2 2 3" xfId="3435"/>
    <cellStyle name="40% - Accent6 4 2 2 3 2" xfId="3436"/>
    <cellStyle name="40% - Accent6 4 2 2 3 2 2" xfId="12433"/>
    <cellStyle name="40% - Accent6 4 2 2 3 2 2 2" xfId="20249"/>
    <cellStyle name="40% - Accent6 4 2 2 3 2 3" xfId="16362"/>
    <cellStyle name="40% - Accent6 4 2 2 3 3" xfId="12432"/>
    <cellStyle name="40% - Accent6 4 2 2 3 3 2" xfId="20248"/>
    <cellStyle name="40% - Accent6 4 2 2 3 4" xfId="16361"/>
    <cellStyle name="40% - Accent6 4 2 2 4" xfId="3437"/>
    <cellStyle name="40% - Accent6 4 2 2 4 2" xfId="12434"/>
    <cellStyle name="40% - Accent6 4 2 2 4 2 2" xfId="20250"/>
    <cellStyle name="40% - Accent6 4 2 2 4 3" xfId="16363"/>
    <cellStyle name="40% - Accent6 4 2 2 5" xfId="12429"/>
    <cellStyle name="40% - Accent6 4 2 2 5 2" xfId="20245"/>
    <cellStyle name="40% - Accent6 4 2 2 6" xfId="16358"/>
    <cellStyle name="40% - Accent6 4 2 3" xfId="3438"/>
    <cellStyle name="40% - Accent6 4 2 3 2" xfId="3439"/>
    <cellStyle name="40% - Accent6 4 2 3 2 2" xfId="3440"/>
    <cellStyle name="40% - Accent6 4 2 3 2 2 2" xfId="12437"/>
    <cellStyle name="40% - Accent6 4 2 3 2 2 2 2" xfId="20253"/>
    <cellStyle name="40% - Accent6 4 2 3 2 2 3" xfId="16366"/>
    <cellStyle name="40% - Accent6 4 2 3 2 3" xfId="12436"/>
    <cellStyle name="40% - Accent6 4 2 3 2 3 2" xfId="20252"/>
    <cellStyle name="40% - Accent6 4 2 3 2 4" xfId="16365"/>
    <cellStyle name="40% - Accent6 4 2 3 3" xfId="3441"/>
    <cellStyle name="40% - Accent6 4 2 3 3 2" xfId="12438"/>
    <cellStyle name="40% - Accent6 4 2 3 3 2 2" xfId="20254"/>
    <cellStyle name="40% - Accent6 4 2 3 3 3" xfId="16367"/>
    <cellStyle name="40% - Accent6 4 2 3 4" xfId="12435"/>
    <cellStyle name="40% - Accent6 4 2 3 4 2" xfId="20251"/>
    <cellStyle name="40% - Accent6 4 2 3 5" xfId="16364"/>
    <cellStyle name="40% - Accent6 4 2 4" xfId="3442"/>
    <cellStyle name="40% - Accent6 4 2 4 2" xfId="3443"/>
    <cellStyle name="40% - Accent6 4 2 4 2 2" xfId="12440"/>
    <cellStyle name="40% - Accent6 4 2 4 2 2 2" xfId="20256"/>
    <cellStyle name="40% - Accent6 4 2 4 2 3" xfId="16369"/>
    <cellStyle name="40% - Accent6 4 2 4 3" xfId="12439"/>
    <cellStyle name="40% - Accent6 4 2 4 3 2" xfId="20255"/>
    <cellStyle name="40% - Accent6 4 2 4 4" xfId="16368"/>
    <cellStyle name="40% - Accent6 4 2 5" xfId="3444"/>
    <cellStyle name="40% - Accent6 4 2 5 2" xfId="12441"/>
    <cellStyle name="40% - Accent6 4 2 5 2 2" xfId="20257"/>
    <cellStyle name="40% - Accent6 4 2 5 3" xfId="16370"/>
    <cellStyle name="40% - Accent6 4 2 6" xfId="12428"/>
    <cellStyle name="40% - Accent6 4 2 6 2" xfId="20244"/>
    <cellStyle name="40% - Accent6 4 2 7" xfId="16357"/>
    <cellStyle name="40% - Accent6 4 3" xfId="3445"/>
    <cellStyle name="40% - Accent6 4 3 2" xfId="3446"/>
    <cellStyle name="40% - Accent6 4 3 2 2" xfId="3447"/>
    <cellStyle name="40% - Accent6 4 3 2 2 2" xfId="3448"/>
    <cellStyle name="40% - Accent6 4 3 2 2 2 2" xfId="12445"/>
    <cellStyle name="40% - Accent6 4 3 2 2 2 2 2" xfId="20261"/>
    <cellStyle name="40% - Accent6 4 3 2 2 2 3" xfId="16374"/>
    <cellStyle name="40% - Accent6 4 3 2 2 3" xfId="12444"/>
    <cellStyle name="40% - Accent6 4 3 2 2 3 2" xfId="20260"/>
    <cellStyle name="40% - Accent6 4 3 2 2 4" xfId="16373"/>
    <cellStyle name="40% - Accent6 4 3 2 3" xfId="3449"/>
    <cellStyle name="40% - Accent6 4 3 2 3 2" xfId="12446"/>
    <cellStyle name="40% - Accent6 4 3 2 3 2 2" xfId="20262"/>
    <cellStyle name="40% - Accent6 4 3 2 3 3" xfId="16375"/>
    <cellStyle name="40% - Accent6 4 3 2 4" xfId="12443"/>
    <cellStyle name="40% - Accent6 4 3 2 4 2" xfId="20259"/>
    <cellStyle name="40% - Accent6 4 3 2 5" xfId="16372"/>
    <cellStyle name="40% - Accent6 4 3 3" xfId="3450"/>
    <cellStyle name="40% - Accent6 4 3 3 2" xfId="3451"/>
    <cellStyle name="40% - Accent6 4 3 3 2 2" xfId="12448"/>
    <cellStyle name="40% - Accent6 4 3 3 2 2 2" xfId="20264"/>
    <cellStyle name="40% - Accent6 4 3 3 2 3" xfId="16377"/>
    <cellStyle name="40% - Accent6 4 3 3 3" xfId="12447"/>
    <cellStyle name="40% - Accent6 4 3 3 3 2" xfId="20263"/>
    <cellStyle name="40% - Accent6 4 3 3 4" xfId="16376"/>
    <cellStyle name="40% - Accent6 4 3 4" xfId="3452"/>
    <cellStyle name="40% - Accent6 4 3 4 2" xfId="3453"/>
    <cellStyle name="40% - Accent6 4 3 4 2 2" xfId="12450"/>
    <cellStyle name="40% - Accent6 4 3 4 2 2 2" xfId="20266"/>
    <cellStyle name="40% - Accent6 4 3 4 2 3" xfId="16379"/>
    <cellStyle name="40% - Accent6 4 3 4 3" xfId="12449"/>
    <cellStyle name="40% - Accent6 4 3 4 3 2" xfId="20265"/>
    <cellStyle name="40% - Accent6 4 3 4 4" xfId="16378"/>
    <cellStyle name="40% - Accent6 4 3 5" xfId="3454"/>
    <cellStyle name="40% - Accent6 4 3 5 2" xfId="12451"/>
    <cellStyle name="40% - Accent6 4 3 5 2 2" xfId="20267"/>
    <cellStyle name="40% - Accent6 4 3 5 3" xfId="16380"/>
    <cellStyle name="40% - Accent6 4 3 6" xfId="12442"/>
    <cellStyle name="40% - Accent6 4 3 6 2" xfId="20258"/>
    <cellStyle name="40% - Accent6 4 3 7" xfId="16371"/>
    <cellStyle name="40% - Accent6 4 4" xfId="3455"/>
    <cellStyle name="40% - Accent6 4 4 2" xfId="3456"/>
    <cellStyle name="40% - Accent6 4 4 2 2" xfId="3457"/>
    <cellStyle name="40% - Accent6 4 4 2 2 2" xfId="12454"/>
    <cellStyle name="40% - Accent6 4 4 2 2 2 2" xfId="20270"/>
    <cellStyle name="40% - Accent6 4 4 2 2 3" xfId="16383"/>
    <cellStyle name="40% - Accent6 4 4 2 3" xfId="12453"/>
    <cellStyle name="40% - Accent6 4 4 2 3 2" xfId="20269"/>
    <cellStyle name="40% - Accent6 4 4 2 4" xfId="16382"/>
    <cellStyle name="40% - Accent6 4 4 3" xfId="3458"/>
    <cellStyle name="40% - Accent6 4 4 3 2" xfId="12455"/>
    <cellStyle name="40% - Accent6 4 4 3 2 2" xfId="20271"/>
    <cellStyle name="40% - Accent6 4 4 3 3" xfId="16384"/>
    <cellStyle name="40% - Accent6 4 4 4" xfId="12452"/>
    <cellStyle name="40% - Accent6 4 4 4 2" xfId="20268"/>
    <cellStyle name="40% - Accent6 4 4 5" xfId="16381"/>
    <cellStyle name="40% - Accent6 4 5" xfId="3459"/>
    <cellStyle name="40% - Accent6 4 5 2" xfId="3460"/>
    <cellStyle name="40% - Accent6 4 5 2 2" xfId="12457"/>
    <cellStyle name="40% - Accent6 4 5 2 2 2" xfId="20273"/>
    <cellStyle name="40% - Accent6 4 5 2 3" xfId="16386"/>
    <cellStyle name="40% - Accent6 4 5 3" xfId="12456"/>
    <cellStyle name="40% - Accent6 4 5 3 2" xfId="20272"/>
    <cellStyle name="40% - Accent6 4 5 4" xfId="16385"/>
    <cellStyle name="40% - Accent6 4 6" xfId="3461"/>
    <cellStyle name="40% - Accent6 4 6 2" xfId="12458"/>
    <cellStyle name="40% - Accent6 4 6 2 2" xfId="20274"/>
    <cellStyle name="40% - Accent6 4 6 3" xfId="16387"/>
    <cellStyle name="40% - Accent6 4 7" xfId="12427"/>
    <cellStyle name="40% - Accent6 4 7 2" xfId="20243"/>
    <cellStyle name="40% - Accent6 4 8" xfId="16356"/>
    <cellStyle name="40% - Accent6 5" xfId="3462"/>
    <cellStyle name="40% - Accent6 5 2" xfId="3463"/>
    <cellStyle name="40% - Accent6 5 2 2" xfId="3464"/>
    <cellStyle name="40% - Accent6 5 2 2 2" xfId="3465"/>
    <cellStyle name="40% - Accent6 5 2 2 2 2" xfId="12462"/>
    <cellStyle name="40% - Accent6 5 2 2 2 2 2" xfId="20278"/>
    <cellStyle name="40% - Accent6 5 2 2 2 3" xfId="16391"/>
    <cellStyle name="40% - Accent6 5 2 2 3" xfId="12461"/>
    <cellStyle name="40% - Accent6 5 2 2 3 2" xfId="20277"/>
    <cellStyle name="40% - Accent6 5 2 2 4" xfId="16390"/>
    <cellStyle name="40% - Accent6 5 2 3" xfId="3466"/>
    <cellStyle name="40% - Accent6 5 2 3 2" xfId="3467"/>
    <cellStyle name="40% - Accent6 5 2 3 2 2" xfId="12464"/>
    <cellStyle name="40% - Accent6 5 2 3 2 2 2" xfId="20280"/>
    <cellStyle name="40% - Accent6 5 2 3 2 3" xfId="16393"/>
    <cellStyle name="40% - Accent6 5 2 3 3" xfId="12463"/>
    <cellStyle name="40% - Accent6 5 2 3 3 2" xfId="20279"/>
    <cellStyle name="40% - Accent6 5 2 3 4" xfId="16392"/>
    <cellStyle name="40% - Accent6 5 2 4" xfId="3468"/>
    <cellStyle name="40% - Accent6 5 2 4 2" xfId="12465"/>
    <cellStyle name="40% - Accent6 5 2 4 2 2" xfId="20281"/>
    <cellStyle name="40% - Accent6 5 2 4 3" xfId="16394"/>
    <cellStyle name="40% - Accent6 5 2 5" xfId="12460"/>
    <cellStyle name="40% - Accent6 5 2 5 2" xfId="20276"/>
    <cellStyle name="40% - Accent6 5 2 6" xfId="16389"/>
    <cellStyle name="40% - Accent6 5 3" xfId="3469"/>
    <cellStyle name="40% - Accent6 5 3 2" xfId="3470"/>
    <cellStyle name="40% - Accent6 5 3 2 2" xfId="3471"/>
    <cellStyle name="40% - Accent6 5 3 2 2 2" xfId="12468"/>
    <cellStyle name="40% - Accent6 5 3 2 2 2 2" xfId="20284"/>
    <cellStyle name="40% - Accent6 5 3 2 2 3" xfId="16397"/>
    <cellStyle name="40% - Accent6 5 3 2 3" xfId="12467"/>
    <cellStyle name="40% - Accent6 5 3 2 3 2" xfId="20283"/>
    <cellStyle name="40% - Accent6 5 3 2 4" xfId="16396"/>
    <cellStyle name="40% - Accent6 5 3 3" xfId="3472"/>
    <cellStyle name="40% - Accent6 5 3 3 2" xfId="12469"/>
    <cellStyle name="40% - Accent6 5 3 3 2 2" xfId="20285"/>
    <cellStyle name="40% - Accent6 5 3 3 3" xfId="16398"/>
    <cellStyle name="40% - Accent6 5 3 4" xfId="12466"/>
    <cellStyle name="40% - Accent6 5 3 4 2" xfId="20282"/>
    <cellStyle name="40% - Accent6 5 3 5" xfId="16395"/>
    <cellStyle name="40% - Accent6 5 4" xfId="3473"/>
    <cellStyle name="40% - Accent6 5 4 2" xfId="3474"/>
    <cellStyle name="40% - Accent6 5 4 2 2" xfId="12471"/>
    <cellStyle name="40% - Accent6 5 4 2 2 2" xfId="20287"/>
    <cellStyle name="40% - Accent6 5 4 2 3" xfId="16400"/>
    <cellStyle name="40% - Accent6 5 4 3" xfId="12470"/>
    <cellStyle name="40% - Accent6 5 4 3 2" xfId="20286"/>
    <cellStyle name="40% - Accent6 5 4 4" xfId="16399"/>
    <cellStyle name="40% - Accent6 5 5" xfId="3475"/>
    <cellStyle name="40% - Accent6 5 5 2" xfId="12472"/>
    <cellStyle name="40% - Accent6 5 5 2 2" xfId="20288"/>
    <cellStyle name="40% - Accent6 5 5 3" xfId="16401"/>
    <cellStyle name="40% - Accent6 5 6" xfId="12459"/>
    <cellStyle name="40% - Accent6 5 6 2" xfId="20275"/>
    <cellStyle name="40% - Accent6 5 7" xfId="16388"/>
    <cellStyle name="40% - Accent6 6" xfId="3476"/>
    <cellStyle name="40% - Accent6 6 2" xfId="3477"/>
    <cellStyle name="40% - Accent6 6 2 2" xfId="3478"/>
    <cellStyle name="40% - Accent6 6 2 2 2" xfId="3479"/>
    <cellStyle name="40% - Accent6 6 2 2 2 2" xfId="12476"/>
    <cellStyle name="40% - Accent6 6 2 2 2 2 2" xfId="20292"/>
    <cellStyle name="40% - Accent6 6 2 2 2 3" xfId="16405"/>
    <cellStyle name="40% - Accent6 6 2 2 3" xfId="12475"/>
    <cellStyle name="40% - Accent6 6 2 2 3 2" xfId="20291"/>
    <cellStyle name="40% - Accent6 6 2 2 4" xfId="16404"/>
    <cellStyle name="40% - Accent6 6 2 3" xfId="3480"/>
    <cellStyle name="40% - Accent6 6 2 3 2" xfId="12477"/>
    <cellStyle name="40% - Accent6 6 2 3 2 2" xfId="20293"/>
    <cellStyle name="40% - Accent6 6 2 3 3" xfId="16406"/>
    <cellStyle name="40% - Accent6 6 2 4" xfId="12474"/>
    <cellStyle name="40% - Accent6 6 2 4 2" xfId="20290"/>
    <cellStyle name="40% - Accent6 6 2 5" xfId="16403"/>
    <cellStyle name="40% - Accent6 6 3" xfId="3481"/>
    <cellStyle name="40% - Accent6 6 3 2" xfId="3482"/>
    <cellStyle name="40% - Accent6 6 3 2 2" xfId="12479"/>
    <cellStyle name="40% - Accent6 6 3 2 2 2" xfId="20295"/>
    <cellStyle name="40% - Accent6 6 3 2 3" xfId="16408"/>
    <cellStyle name="40% - Accent6 6 3 3" xfId="12478"/>
    <cellStyle name="40% - Accent6 6 3 3 2" xfId="20294"/>
    <cellStyle name="40% - Accent6 6 3 4" xfId="16407"/>
    <cellStyle name="40% - Accent6 6 4" xfId="3483"/>
    <cellStyle name="40% - Accent6 6 4 2" xfId="12480"/>
    <cellStyle name="40% - Accent6 6 4 2 2" xfId="20296"/>
    <cellStyle name="40% - Accent6 6 4 3" xfId="16409"/>
    <cellStyle name="40% - Accent6 6 5" xfId="12473"/>
    <cellStyle name="40% - Accent6 6 5 2" xfId="20289"/>
    <cellStyle name="40% - Accent6 6 6" xfId="16402"/>
    <cellStyle name="40% - Accent6 7" xfId="3484"/>
    <cellStyle name="40% - Accent6 7 2" xfId="3485"/>
    <cellStyle name="40% - Accent6 7 2 2" xfId="3486"/>
    <cellStyle name="40% - Accent6 7 2 2 2" xfId="3487"/>
    <cellStyle name="40% - Accent6 7 2 2 2 2" xfId="12484"/>
    <cellStyle name="40% - Accent6 7 2 2 2 2 2" xfId="20300"/>
    <cellStyle name="40% - Accent6 7 2 2 2 3" xfId="16413"/>
    <cellStyle name="40% - Accent6 7 2 2 3" xfId="12483"/>
    <cellStyle name="40% - Accent6 7 2 2 3 2" xfId="20299"/>
    <cellStyle name="40% - Accent6 7 2 2 4" xfId="16412"/>
    <cellStyle name="40% - Accent6 7 2 3" xfId="3488"/>
    <cellStyle name="40% - Accent6 7 2 3 2" xfId="12485"/>
    <cellStyle name="40% - Accent6 7 2 3 2 2" xfId="20301"/>
    <cellStyle name="40% - Accent6 7 2 3 3" xfId="16414"/>
    <cellStyle name="40% - Accent6 7 2 4" xfId="12482"/>
    <cellStyle name="40% - Accent6 7 2 4 2" xfId="20298"/>
    <cellStyle name="40% - Accent6 7 2 5" xfId="16411"/>
    <cellStyle name="40% - Accent6 7 3" xfId="3489"/>
    <cellStyle name="40% - Accent6 7 3 2" xfId="3490"/>
    <cellStyle name="40% - Accent6 7 3 2 2" xfId="12487"/>
    <cellStyle name="40% - Accent6 7 3 2 2 2" xfId="20303"/>
    <cellStyle name="40% - Accent6 7 3 2 3" xfId="16416"/>
    <cellStyle name="40% - Accent6 7 3 3" xfId="12486"/>
    <cellStyle name="40% - Accent6 7 3 3 2" xfId="20302"/>
    <cellStyle name="40% - Accent6 7 3 4" xfId="16415"/>
    <cellStyle name="40% - Accent6 7 4" xfId="3491"/>
    <cellStyle name="40% - Accent6 7 4 2" xfId="12488"/>
    <cellStyle name="40% - Accent6 7 4 2 2" xfId="20304"/>
    <cellStyle name="40% - Accent6 7 4 3" xfId="16417"/>
    <cellStyle name="40% - Accent6 7 5" xfId="12481"/>
    <cellStyle name="40% - Accent6 7 5 2" xfId="20297"/>
    <cellStyle name="40% - Accent6 7 6" xfId="16410"/>
    <cellStyle name="40% - Accent6 8" xfId="3492"/>
    <cellStyle name="40% - Accent6 8 2" xfId="3493"/>
    <cellStyle name="40% - Accent6 8 2 2" xfId="3494"/>
    <cellStyle name="40% - Accent6 8 2 2 2" xfId="12491"/>
    <cellStyle name="40% - Accent6 8 2 2 2 2" xfId="20307"/>
    <cellStyle name="40% - Accent6 8 2 2 3" xfId="16420"/>
    <cellStyle name="40% - Accent6 8 2 3" xfId="12490"/>
    <cellStyle name="40% - Accent6 8 2 3 2" xfId="20306"/>
    <cellStyle name="40% - Accent6 8 2 4" xfId="16419"/>
    <cellStyle name="40% - Accent6 8 3" xfId="3495"/>
    <cellStyle name="40% - Accent6 8 3 2" xfId="12492"/>
    <cellStyle name="40% - Accent6 8 3 2 2" xfId="20308"/>
    <cellStyle name="40% - Accent6 8 3 3" xfId="16421"/>
    <cellStyle name="40% - Accent6 8 4" xfId="12489"/>
    <cellStyle name="40% - Accent6 8 4 2" xfId="20305"/>
    <cellStyle name="40% - Accent6 8 5" xfId="16418"/>
    <cellStyle name="40% - Accent6 9" xfId="3496"/>
    <cellStyle name="40% - Accent6 9 2" xfId="3497"/>
    <cellStyle name="40% - Accent6 9 2 2" xfId="12494"/>
    <cellStyle name="40% - Accent6 9 2 2 2" xfId="20310"/>
    <cellStyle name="40% - Accent6 9 2 3" xfId="16423"/>
    <cellStyle name="40% - Accent6 9 3" xfId="12493"/>
    <cellStyle name="40% - Accent6 9 3 2" xfId="20309"/>
    <cellStyle name="40% - Accent6 9 4" xfId="16422"/>
    <cellStyle name="60% - Accent1 2" xfId="3498"/>
    <cellStyle name="60% - Accent1 2 2" xfId="12937"/>
    <cellStyle name="60% - Accent1 3" xfId="3499"/>
    <cellStyle name="60% - Accent2 2" xfId="3500"/>
    <cellStyle name="60% - Accent2 2 2" xfId="12941"/>
    <cellStyle name="60% - Accent2 3" xfId="3501"/>
    <cellStyle name="60% - Accent3 2" xfId="3502"/>
    <cellStyle name="60% - Accent3 2 2" xfId="12945"/>
    <cellStyle name="60% - Accent3 3" xfId="3503"/>
    <cellStyle name="60% - Accent4 2" xfId="3504"/>
    <cellStyle name="60% - Accent4 2 2" xfId="12949"/>
    <cellStyle name="60% - Accent4 3" xfId="3505"/>
    <cellStyle name="60% - Accent5 2" xfId="3506"/>
    <cellStyle name="60% - Accent5 2 2" xfId="12953"/>
    <cellStyle name="60% - Accent5 3" xfId="3507"/>
    <cellStyle name="60% - Accent6 2" xfId="3508"/>
    <cellStyle name="60% - Accent6 2 2" xfId="12957"/>
    <cellStyle name="60% - Accent6 3" xfId="3509"/>
    <cellStyle name="Accent1 2" xfId="3510"/>
    <cellStyle name="Accent1 2 2" xfId="12934"/>
    <cellStyle name="Accent1 3" xfId="3511"/>
    <cellStyle name="Accent2 2" xfId="3512"/>
    <cellStyle name="Accent2 2 2" xfId="12938"/>
    <cellStyle name="Accent2 3" xfId="3513"/>
    <cellStyle name="Accent3 2" xfId="3514"/>
    <cellStyle name="Accent3 2 2" xfId="12942"/>
    <cellStyle name="Accent3 3" xfId="3515"/>
    <cellStyle name="Accent4 2" xfId="3516"/>
    <cellStyle name="Accent4 2 2" xfId="12946"/>
    <cellStyle name="Accent4 3" xfId="3517"/>
    <cellStyle name="Accent5 2" xfId="3518"/>
    <cellStyle name="Accent5 2 2" xfId="12950"/>
    <cellStyle name="Accent5 3" xfId="3519"/>
    <cellStyle name="Accent6 2" xfId="3520"/>
    <cellStyle name="Accent6 2 2" xfId="12954"/>
    <cellStyle name="Accent6 3" xfId="3521"/>
    <cellStyle name="Bad 2" xfId="3522"/>
    <cellStyle name="Bad 2 2" xfId="12923"/>
    <cellStyle name="Bad 3" xfId="3523"/>
    <cellStyle name="Calculation 2" xfId="3524"/>
    <cellStyle name="Calculation 2 2" xfId="12927"/>
    <cellStyle name="Calculation 3" xfId="3525"/>
    <cellStyle name="Check Cell 2" xfId="3526"/>
    <cellStyle name="Check Cell 2 2" xfId="12929"/>
    <cellStyle name="Check Cell 3" xfId="3527"/>
    <cellStyle name="Comma" xfId="2" builtinId="3"/>
    <cellStyle name="Comma [0] 2" xfId="3528"/>
    <cellStyle name="Comma [0] 2 2" xfId="3529"/>
    <cellStyle name="Comma [0] 3" xfId="3530"/>
    <cellStyle name="Comma [0] 3 2" xfId="3531"/>
    <cellStyle name="Comma [0] 4" xfId="3532"/>
    <cellStyle name="Comma 10" xfId="8928"/>
    <cellStyle name="Comma 10 2" xfId="8984"/>
    <cellStyle name="Comma 11" xfId="8930"/>
    <cellStyle name="Comma 12" xfId="8931"/>
    <cellStyle name="Comma 13" xfId="8932"/>
    <cellStyle name="Comma 14" xfId="8933"/>
    <cellStyle name="Comma 15" xfId="8934"/>
    <cellStyle name="Comma 16" xfId="8935"/>
    <cellStyle name="Comma 17" xfId="8936"/>
    <cellStyle name="Comma 18" xfId="8940"/>
    <cellStyle name="Comma 19" xfId="8939"/>
    <cellStyle name="Comma 2" xfId="3"/>
    <cellStyle name="Comma 2 2" xfId="18"/>
    <cellStyle name="Comma 2 2 2" xfId="8902"/>
    <cellStyle name="Comma 2 2 2 2" xfId="9013"/>
    <cellStyle name="Comma 2 2 3" xfId="3534"/>
    <cellStyle name="Comma 2 2 3 2" xfId="9034"/>
    <cellStyle name="Comma 2 2 4" xfId="9006"/>
    <cellStyle name="Comma 2 3" xfId="7"/>
    <cellStyle name="Comma 2 3 2" xfId="8986"/>
    <cellStyle name="Comma 2 3 3" xfId="9029"/>
    <cellStyle name="Comma 2 3 4" xfId="8977"/>
    <cellStyle name="Comma 2 4" xfId="3533"/>
    <cellStyle name="Comma 2 4 2" xfId="9011"/>
    <cellStyle name="Comma 2 5" xfId="8991"/>
    <cellStyle name="Comma 20" xfId="9037"/>
    <cellStyle name="Comma 21" xfId="12495"/>
    <cellStyle name="Comma 22" xfId="12914"/>
    <cellStyle name="Comma 3" xfId="3535"/>
    <cellStyle name="Comma 3 2" xfId="3536"/>
    <cellStyle name="Comma 3 2 2" xfId="8941"/>
    <cellStyle name="Comma 3 3" xfId="8900"/>
    <cellStyle name="Comma 4" xfId="3537"/>
    <cellStyle name="Comma 4 2" xfId="3538"/>
    <cellStyle name="Comma 4 2 2" xfId="8942"/>
    <cellStyle name="Comma 4 3" xfId="3539"/>
    <cellStyle name="Comma 4 4" xfId="3540"/>
    <cellStyle name="Comma 5" xfId="3541"/>
    <cellStyle name="Comma 5 2" xfId="8904"/>
    <cellStyle name="Comma 5 3" xfId="9007"/>
    <cellStyle name="Comma 5 3 2" xfId="16846"/>
    <cellStyle name="Comma 5 4" xfId="9014"/>
    <cellStyle name="Comma 5 5" xfId="8992"/>
    <cellStyle name="Comma 5 6" xfId="8943"/>
    <cellStyle name="Comma 6" xfId="3542"/>
    <cellStyle name="Comma 6 2" xfId="8945"/>
    <cellStyle name="Comma 6 3" xfId="8944"/>
    <cellStyle name="Comma 7" xfId="3543"/>
    <cellStyle name="Comma 7 2" xfId="8947"/>
    <cellStyle name="Comma 7 3" xfId="8946"/>
    <cellStyle name="Comma 8" xfId="8915"/>
    <cellStyle name="Comma 8 2" xfId="8948"/>
    <cellStyle name="Comma 9" xfId="8916"/>
    <cellStyle name="Comma 9 2" xfId="8976"/>
    <cellStyle name="Comma0" xfId="8"/>
    <cellStyle name="Comma0 2" xfId="19"/>
    <cellStyle name="Comma0 2 2" xfId="3546"/>
    <cellStyle name="Comma0 2 2 2" xfId="8949"/>
    <cellStyle name="Comma0 2 3" xfId="3547"/>
    <cellStyle name="Comma0 2 4" xfId="3545"/>
    <cellStyle name="Comma0 2 4 2" xfId="8999"/>
    <cellStyle name="Comma0 3" xfId="3548"/>
    <cellStyle name="Comma0 3 2" xfId="3549"/>
    <cellStyle name="Comma0 3 2 2" xfId="9028"/>
    <cellStyle name="Comma0 3 3" xfId="3550"/>
    <cellStyle name="Comma0 4" xfId="3551"/>
    <cellStyle name="Comma0 4 2" xfId="8950"/>
    <cellStyle name="Comma0 5" xfId="8905"/>
    <cellStyle name="Comma0 6" xfId="3544"/>
    <cellStyle name="Currency 2" xfId="8952"/>
    <cellStyle name="Currency 2 2" xfId="8979"/>
    <cellStyle name="Currency 3" xfId="8978"/>
    <cellStyle name="Currency 4" xfId="8951"/>
    <cellStyle name="Currency 5" xfId="12959"/>
    <cellStyle name="Currency0" xfId="3552"/>
    <cellStyle name="Currency0 2" xfId="3553"/>
    <cellStyle name="Currency0 2 2" xfId="3554"/>
    <cellStyle name="Currency0 2 3" xfId="3555"/>
    <cellStyle name="Currency0 2 4" xfId="9000"/>
    <cellStyle name="Currency0 3" xfId="3556"/>
    <cellStyle name="Currency0 3 2" xfId="3557"/>
    <cellStyle name="Currency0 3 3" xfId="3558"/>
    <cellStyle name="Currency0 3 4" xfId="9035"/>
    <cellStyle name="Currency0 4" xfId="3559"/>
    <cellStyle name="Currency0 5" xfId="8906"/>
    <cellStyle name="Date" xfId="3560"/>
    <cellStyle name="Date 2" xfId="3561"/>
    <cellStyle name="Date 2 2" xfId="3562"/>
    <cellStyle name="Date 2 3" xfId="9001"/>
    <cellStyle name="Date 3" xfId="3563"/>
    <cellStyle name="Date 3 2" xfId="3564"/>
    <cellStyle name="Date 3 3" xfId="9027"/>
    <cellStyle name="Date 4" xfId="3565"/>
    <cellStyle name="Date 5" xfId="8907"/>
    <cellStyle name="Explanatory Text 2" xfId="3566"/>
    <cellStyle name="Explanatory Text 2 2" xfId="12932"/>
    <cellStyle name="Explanatory Text 3" xfId="3567"/>
    <cellStyle name="Fixed" xfId="3568"/>
    <cellStyle name="Fixed 2" xfId="3569"/>
    <cellStyle name="Fixed 2 2" xfId="3570"/>
    <cellStyle name="Fixed 2 3" xfId="9002"/>
    <cellStyle name="Fixed 3" xfId="3571"/>
    <cellStyle name="Fixed 3 2" xfId="3572"/>
    <cellStyle name="Fixed 3 3" xfId="9031"/>
    <cellStyle name="Fixed 4" xfId="3573"/>
    <cellStyle name="Fixed 5" xfId="8908"/>
    <cellStyle name="Good 2" xfId="3574"/>
    <cellStyle name="Good 2 2" xfId="12922"/>
    <cellStyle name="Good 3" xfId="3575"/>
    <cellStyle name="Heading 1 2" xfId="3576"/>
    <cellStyle name="Heading 1 2 2" xfId="8909"/>
    <cellStyle name="Heading 1 2 2 2" xfId="9015"/>
    <cellStyle name="Heading 1 2 3" xfId="8993"/>
    <cellStyle name="Heading 1 2 4" xfId="8953"/>
    <cellStyle name="Heading 1 2 5" xfId="12918"/>
    <cellStyle name="Heading 1 3" xfId="3577"/>
    <cellStyle name="Heading 1 4" xfId="3578"/>
    <cellStyle name="Heading 1 5" xfId="3579"/>
    <cellStyle name="Heading 2 2" xfId="3580"/>
    <cellStyle name="Heading 2 2 2" xfId="8910"/>
    <cellStyle name="Heading 2 2 2 2" xfId="9016"/>
    <cellStyle name="Heading 2 2 3" xfId="8994"/>
    <cellStyle name="Heading 2 2 4" xfId="8954"/>
    <cellStyle name="Heading 2 2 5" xfId="12919"/>
    <cellStyle name="Heading 2 3" xfId="3581"/>
    <cellStyle name="Heading 2 4" xfId="3582"/>
    <cellStyle name="Heading 2 5" xfId="3583"/>
    <cellStyle name="Heading 3 2" xfId="3584"/>
    <cellStyle name="Heading 3 2 2" xfId="12920"/>
    <cellStyle name="Heading 3 3" xfId="3585"/>
    <cellStyle name="Heading 4 2" xfId="3586"/>
    <cellStyle name="Heading 4 2 2" xfId="12921"/>
    <cellStyle name="Heading 4 3" xfId="3587"/>
    <cellStyle name="Hyperlink" xfId="12960" builtinId="8"/>
    <cellStyle name="Hyperlink 2" xfId="12"/>
    <cellStyle name="Hyperlink 2 2" xfId="23"/>
    <cellStyle name="Hyperlink 2 3" xfId="8987"/>
    <cellStyle name="Hyperlink 2 4" xfId="8955"/>
    <cellStyle name="Hyperlink 3" xfId="9"/>
    <cellStyle name="Hyperlink 4" xfId="26"/>
    <cellStyle name="Input 2" xfId="3588"/>
    <cellStyle name="Input 2 2" xfId="12925"/>
    <cellStyle name="Input 3" xfId="3589"/>
    <cellStyle name="Linked Cell 2" xfId="3590"/>
    <cellStyle name="Linked Cell 2 2" xfId="12928"/>
    <cellStyle name="Linked Cell 3" xfId="3591"/>
    <cellStyle name="Neutral 2" xfId="3592"/>
    <cellStyle name="Neutral 2 2" xfId="12924"/>
    <cellStyle name="Neutral 3" xfId="3593"/>
    <cellStyle name="Normal" xfId="0" builtinId="0"/>
    <cellStyle name="Normal 10" xfId="29"/>
    <cellStyle name="Normal 10 10" xfId="3595"/>
    <cellStyle name="Normal 10 10 2" xfId="12496"/>
    <cellStyle name="Normal 10 10 2 2" xfId="20311"/>
    <cellStyle name="Normal 10 10 3" xfId="16424"/>
    <cellStyle name="Normal 10 11" xfId="3594"/>
    <cellStyle name="Normal 10 12" xfId="12915"/>
    <cellStyle name="Normal 10 12 2" xfId="20728"/>
    <cellStyle name="Normal 10 13" xfId="12967"/>
    <cellStyle name="Normal 10 2" xfId="3596"/>
    <cellStyle name="Normal 10 2 2" xfId="3597"/>
    <cellStyle name="Normal 10 2 2 2" xfId="3598"/>
    <cellStyle name="Normal 10 2 2 2 2" xfId="3599"/>
    <cellStyle name="Normal 10 2 2 2 2 2" xfId="3600"/>
    <cellStyle name="Normal 10 2 2 2 2 2 2" xfId="12501"/>
    <cellStyle name="Normal 10 2 2 2 2 2 2 2" xfId="20316"/>
    <cellStyle name="Normal 10 2 2 2 2 2 3" xfId="16429"/>
    <cellStyle name="Normal 10 2 2 2 2 3" xfId="12500"/>
    <cellStyle name="Normal 10 2 2 2 2 3 2" xfId="20315"/>
    <cellStyle name="Normal 10 2 2 2 2 4" xfId="16428"/>
    <cellStyle name="Normal 10 2 2 2 3" xfId="3601"/>
    <cellStyle name="Normal 10 2 2 2 3 2" xfId="3602"/>
    <cellStyle name="Normal 10 2 2 2 3 2 2" xfId="12503"/>
    <cellStyle name="Normal 10 2 2 2 3 2 2 2" xfId="20318"/>
    <cellStyle name="Normal 10 2 2 2 3 2 3" xfId="16431"/>
    <cellStyle name="Normal 10 2 2 2 3 3" xfId="12502"/>
    <cellStyle name="Normal 10 2 2 2 3 3 2" xfId="20317"/>
    <cellStyle name="Normal 10 2 2 2 3 4" xfId="16430"/>
    <cellStyle name="Normal 10 2 2 2 4" xfId="3603"/>
    <cellStyle name="Normal 10 2 2 2 4 2" xfId="12504"/>
    <cellStyle name="Normal 10 2 2 2 4 2 2" xfId="20319"/>
    <cellStyle name="Normal 10 2 2 2 4 3" xfId="16432"/>
    <cellStyle name="Normal 10 2 2 2 5" xfId="12499"/>
    <cellStyle name="Normal 10 2 2 2 5 2" xfId="20314"/>
    <cellStyle name="Normal 10 2 2 2 6" xfId="16427"/>
    <cellStyle name="Normal 10 2 2 3" xfId="3604"/>
    <cellStyle name="Normal 10 2 2 3 2" xfId="3605"/>
    <cellStyle name="Normal 10 2 2 3 2 2" xfId="3606"/>
    <cellStyle name="Normal 10 2 2 3 2 2 2" xfId="12507"/>
    <cellStyle name="Normal 10 2 2 3 2 2 2 2" xfId="20322"/>
    <cellStyle name="Normal 10 2 2 3 2 2 3" xfId="16435"/>
    <cellStyle name="Normal 10 2 2 3 2 3" xfId="12506"/>
    <cellStyle name="Normal 10 2 2 3 2 3 2" xfId="20321"/>
    <cellStyle name="Normal 10 2 2 3 2 4" xfId="16434"/>
    <cellStyle name="Normal 10 2 2 3 3" xfId="3607"/>
    <cellStyle name="Normal 10 2 2 3 3 2" xfId="12508"/>
    <cellStyle name="Normal 10 2 2 3 3 2 2" xfId="20323"/>
    <cellStyle name="Normal 10 2 2 3 3 3" xfId="16436"/>
    <cellStyle name="Normal 10 2 2 3 4" xfId="12505"/>
    <cellStyle name="Normal 10 2 2 3 4 2" xfId="20320"/>
    <cellStyle name="Normal 10 2 2 3 5" xfId="16433"/>
    <cellStyle name="Normal 10 2 2 4" xfId="3608"/>
    <cellStyle name="Normal 10 2 2 4 2" xfId="3609"/>
    <cellStyle name="Normal 10 2 2 4 2 2" xfId="12510"/>
    <cellStyle name="Normal 10 2 2 4 2 2 2" xfId="20325"/>
    <cellStyle name="Normal 10 2 2 4 2 3" xfId="16438"/>
    <cellStyle name="Normal 10 2 2 4 3" xfId="12509"/>
    <cellStyle name="Normal 10 2 2 4 3 2" xfId="20324"/>
    <cellStyle name="Normal 10 2 2 4 4" xfId="16437"/>
    <cellStyle name="Normal 10 2 2 5" xfId="3610"/>
    <cellStyle name="Normal 10 2 2 5 2" xfId="12511"/>
    <cellStyle name="Normal 10 2 2 5 2 2" xfId="20326"/>
    <cellStyle name="Normal 10 2 2 5 3" xfId="16439"/>
    <cellStyle name="Normal 10 2 2 6" xfId="12498"/>
    <cellStyle name="Normal 10 2 2 6 2" xfId="20313"/>
    <cellStyle name="Normal 10 2 2 7" xfId="16426"/>
    <cellStyle name="Normal 10 2 3" xfId="3611"/>
    <cellStyle name="Normal 10 2 3 2" xfId="3612"/>
    <cellStyle name="Normal 10 2 3 2 2" xfId="3613"/>
    <cellStyle name="Normal 10 2 3 2 2 2" xfId="3614"/>
    <cellStyle name="Normal 10 2 3 2 2 2 2" xfId="12515"/>
    <cellStyle name="Normal 10 2 3 2 2 2 2 2" xfId="20330"/>
    <cellStyle name="Normal 10 2 3 2 2 2 3" xfId="16443"/>
    <cellStyle name="Normal 10 2 3 2 2 3" xfId="12514"/>
    <cellStyle name="Normal 10 2 3 2 2 3 2" xfId="20329"/>
    <cellStyle name="Normal 10 2 3 2 2 4" xfId="16442"/>
    <cellStyle name="Normal 10 2 3 2 3" xfId="3615"/>
    <cellStyle name="Normal 10 2 3 2 3 2" xfId="12516"/>
    <cellStyle name="Normal 10 2 3 2 3 2 2" xfId="20331"/>
    <cellStyle name="Normal 10 2 3 2 3 3" xfId="16444"/>
    <cellStyle name="Normal 10 2 3 2 4" xfId="12513"/>
    <cellStyle name="Normal 10 2 3 2 4 2" xfId="20328"/>
    <cellStyle name="Normal 10 2 3 2 5" xfId="16441"/>
    <cellStyle name="Normal 10 2 3 3" xfId="3616"/>
    <cellStyle name="Normal 10 2 3 3 2" xfId="3617"/>
    <cellStyle name="Normal 10 2 3 3 2 2" xfId="12518"/>
    <cellStyle name="Normal 10 2 3 3 2 2 2" xfId="20333"/>
    <cellStyle name="Normal 10 2 3 3 2 3" xfId="16446"/>
    <cellStyle name="Normal 10 2 3 3 3" xfId="12517"/>
    <cellStyle name="Normal 10 2 3 3 3 2" xfId="20332"/>
    <cellStyle name="Normal 10 2 3 3 4" xfId="16445"/>
    <cellStyle name="Normal 10 2 3 4" xfId="3618"/>
    <cellStyle name="Normal 10 2 3 4 2" xfId="12519"/>
    <cellStyle name="Normal 10 2 3 4 2 2" xfId="20334"/>
    <cellStyle name="Normal 10 2 3 4 3" xfId="16447"/>
    <cellStyle name="Normal 10 2 3 5" xfId="12512"/>
    <cellStyle name="Normal 10 2 3 5 2" xfId="20327"/>
    <cellStyle name="Normal 10 2 3 6" xfId="16440"/>
    <cellStyle name="Normal 10 2 4" xfId="3619"/>
    <cellStyle name="Normal 10 2 4 2" xfId="3620"/>
    <cellStyle name="Normal 10 2 4 2 2" xfId="3621"/>
    <cellStyle name="Normal 10 2 4 2 2 2" xfId="3622"/>
    <cellStyle name="Normal 10 2 4 2 2 2 2" xfId="12523"/>
    <cellStyle name="Normal 10 2 4 2 2 2 2 2" xfId="20338"/>
    <cellStyle name="Normal 10 2 4 2 2 2 3" xfId="16451"/>
    <cellStyle name="Normal 10 2 4 2 2 3" xfId="12522"/>
    <cellStyle name="Normal 10 2 4 2 2 3 2" xfId="20337"/>
    <cellStyle name="Normal 10 2 4 2 2 4" xfId="16450"/>
    <cellStyle name="Normal 10 2 4 2 3" xfId="3623"/>
    <cellStyle name="Normal 10 2 4 2 3 2" xfId="12524"/>
    <cellStyle name="Normal 10 2 4 2 3 2 2" xfId="20339"/>
    <cellStyle name="Normal 10 2 4 2 3 3" xfId="16452"/>
    <cellStyle name="Normal 10 2 4 2 4" xfId="12521"/>
    <cellStyle name="Normal 10 2 4 2 4 2" xfId="20336"/>
    <cellStyle name="Normal 10 2 4 2 5" xfId="16449"/>
    <cellStyle name="Normal 10 2 4 3" xfId="3624"/>
    <cellStyle name="Normal 10 2 4 3 2" xfId="3625"/>
    <cellStyle name="Normal 10 2 4 3 2 2" xfId="12526"/>
    <cellStyle name="Normal 10 2 4 3 2 2 2" xfId="20341"/>
    <cellStyle name="Normal 10 2 4 3 2 3" xfId="16454"/>
    <cellStyle name="Normal 10 2 4 3 3" xfId="12525"/>
    <cellStyle name="Normal 10 2 4 3 3 2" xfId="20340"/>
    <cellStyle name="Normal 10 2 4 3 4" xfId="16453"/>
    <cellStyle name="Normal 10 2 4 4" xfId="3626"/>
    <cellStyle name="Normal 10 2 4 4 2" xfId="3627"/>
    <cellStyle name="Normal 10 2 4 4 2 2" xfId="12528"/>
    <cellStyle name="Normal 10 2 4 4 2 2 2" xfId="20343"/>
    <cellStyle name="Normal 10 2 4 4 2 3" xfId="16456"/>
    <cellStyle name="Normal 10 2 4 4 3" xfId="12527"/>
    <cellStyle name="Normal 10 2 4 4 3 2" xfId="20342"/>
    <cellStyle name="Normal 10 2 4 4 4" xfId="16455"/>
    <cellStyle name="Normal 10 2 4 5" xfId="3628"/>
    <cellStyle name="Normal 10 2 4 5 2" xfId="12529"/>
    <cellStyle name="Normal 10 2 4 5 2 2" xfId="20344"/>
    <cellStyle name="Normal 10 2 4 5 3" xfId="16457"/>
    <cellStyle name="Normal 10 2 4 6" xfId="12520"/>
    <cellStyle name="Normal 10 2 4 6 2" xfId="20335"/>
    <cellStyle name="Normal 10 2 4 7" xfId="16448"/>
    <cellStyle name="Normal 10 2 5" xfId="3629"/>
    <cellStyle name="Normal 10 2 5 2" xfId="3630"/>
    <cellStyle name="Normal 10 2 5 2 2" xfId="3631"/>
    <cellStyle name="Normal 10 2 5 2 2 2" xfId="12532"/>
    <cellStyle name="Normal 10 2 5 2 2 2 2" xfId="20347"/>
    <cellStyle name="Normal 10 2 5 2 2 3" xfId="16460"/>
    <cellStyle name="Normal 10 2 5 2 3" xfId="12531"/>
    <cellStyle name="Normal 10 2 5 2 3 2" xfId="20346"/>
    <cellStyle name="Normal 10 2 5 2 4" xfId="16459"/>
    <cellStyle name="Normal 10 2 5 3" xfId="3632"/>
    <cellStyle name="Normal 10 2 5 3 2" xfId="12533"/>
    <cellStyle name="Normal 10 2 5 3 2 2" xfId="20348"/>
    <cellStyle name="Normal 10 2 5 3 3" xfId="16461"/>
    <cellStyle name="Normal 10 2 5 4" xfId="12530"/>
    <cellStyle name="Normal 10 2 5 4 2" xfId="20345"/>
    <cellStyle name="Normal 10 2 5 5" xfId="16458"/>
    <cellStyle name="Normal 10 2 6" xfId="3633"/>
    <cellStyle name="Normal 10 2 6 2" xfId="3634"/>
    <cellStyle name="Normal 10 2 6 2 2" xfId="12535"/>
    <cellStyle name="Normal 10 2 6 2 2 2" xfId="20350"/>
    <cellStyle name="Normal 10 2 6 2 3" xfId="16463"/>
    <cellStyle name="Normal 10 2 6 3" xfId="12534"/>
    <cellStyle name="Normal 10 2 6 3 2" xfId="20349"/>
    <cellStyle name="Normal 10 2 6 4" xfId="16462"/>
    <cellStyle name="Normal 10 2 7" xfId="3635"/>
    <cellStyle name="Normal 10 2 7 2" xfId="12536"/>
    <cellStyle name="Normal 10 2 7 2 2" xfId="20351"/>
    <cellStyle name="Normal 10 2 7 3" xfId="16464"/>
    <cellStyle name="Normal 10 2 8" xfId="12497"/>
    <cellStyle name="Normal 10 2 8 2" xfId="20312"/>
    <cellStyle name="Normal 10 2 9" xfId="16425"/>
    <cellStyle name="Normal 10 3" xfId="3636"/>
    <cellStyle name="Normal 10 3 2" xfId="3637"/>
    <cellStyle name="Normal 10 3 2 2" xfId="3638"/>
    <cellStyle name="Normal 10 3 2 2 2" xfId="3639"/>
    <cellStyle name="Normal 10 3 2 2 2 2" xfId="12540"/>
    <cellStyle name="Normal 10 3 2 2 2 2 2" xfId="20355"/>
    <cellStyle name="Normal 10 3 2 2 2 3" xfId="16468"/>
    <cellStyle name="Normal 10 3 2 2 3" xfId="12539"/>
    <cellStyle name="Normal 10 3 2 2 3 2" xfId="20354"/>
    <cellStyle name="Normal 10 3 2 2 4" xfId="16467"/>
    <cellStyle name="Normal 10 3 2 3" xfId="3640"/>
    <cellStyle name="Normal 10 3 2 3 2" xfId="3641"/>
    <cellStyle name="Normal 10 3 2 3 2 2" xfId="12542"/>
    <cellStyle name="Normal 10 3 2 3 2 2 2" xfId="20357"/>
    <cellStyle name="Normal 10 3 2 3 2 3" xfId="16470"/>
    <cellStyle name="Normal 10 3 2 3 3" xfId="12541"/>
    <cellStyle name="Normal 10 3 2 3 3 2" xfId="20356"/>
    <cellStyle name="Normal 10 3 2 3 4" xfId="16469"/>
    <cellStyle name="Normal 10 3 2 4" xfId="3642"/>
    <cellStyle name="Normal 10 3 2 4 2" xfId="12543"/>
    <cellStyle name="Normal 10 3 2 4 2 2" xfId="20358"/>
    <cellStyle name="Normal 10 3 2 4 3" xfId="16471"/>
    <cellStyle name="Normal 10 3 2 5" xfId="12538"/>
    <cellStyle name="Normal 10 3 2 5 2" xfId="20353"/>
    <cellStyle name="Normal 10 3 2 6" xfId="16466"/>
    <cellStyle name="Normal 10 3 3" xfId="3643"/>
    <cellStyle name="Normal 10 3 3 2" xfId="3644"/>
    <cellStyle name="Normal 10 3 3 2 2" xfId="3645"/>
    <cellStyle name="Normal 10 3 3 2 2 2" xfId="12546"/>
    <cellStyle name="Normal 10 3 3 2 2 2 2" xfId="20361"/>
    <cellStyle name="Normal 10 3 3 2 2 3" xfId="16474"/>
    <cellStyle name="Normal 10 3 3 2 3" xfId="12545"/>
    <cellStyle name="Normal 10 3 3 2 3 2" xfId="20360"/>
    <cellStyle name="Normal 10 3 3 2 4" xfId="16473"/>
    <cellStyle name="Normal 10 3 3 3" xfId="3646"/>
    <cellStyle name="Normal 10 3 3 3 2" xfId="12547"/>
    <cellStyle name="Normal 10 3 3 3 2 2" xfId="20362"/>
    <cellStyle name="Normal 10 3 3 3 3" xfId="16475"/>
    <cellStyle name="Normal 10 3 3 4" xfId="12544"/>
    <cellStyle name="Normal 10 3 3 4 2" xfId="20359"/>
    <cellStyle name="Normal 10 3 3 5" xfId="16472"/>
    <cellStyle name="Normal 10 3 4" xfId="3647"/>
    <cellStyle name="Normal 10 3 4 2" xfId="3648"/>
    <cellStyle name="Normal 10 3 4 2 2" xfId="12549"/>
    <cellStyle name="Normal 10 3 4 2 2 2" xfId="20364"/>
    <cellStyle name="Normal 10 3 4 2 3" xfId="16477"/>
    <cellStyle name="Normal 10 3 4 3" xfId="12548"/>
    <cellStyle name="Normal 10 3 4 3 2" xfId="20363"/>
    <cellStyle name="Normal 10 3 4 4" xfId="16476"/>
    <cellStyle name="Normal 10 3 5" xfId="3649"/>
    <cellStyle name="Normal 10 3 5 2" xfId="12550"/>
    <cellStyle name="Normal 10 3 5 2 2" xfId="20365"/>
    <cellStyle name="Normal 10 3 5 3" xfId="16478"/>
    <cellStyle name="Normal 10 3 6" xfId="12537"/>
    <cellStyle name="Normal 10 3 6 2" xfId="20352"/>
    <cellStyle name="Normal 10 3 7" xfId="16465"/>
    <cellStyle name="Normal 10 4" xfId="3650"/>
    <cellStyle name="Normal 10 4 2" xfId="3651"/>
    <cellStyle name="Normal 10 4 2 2" xfId="3652"/>
    <cellStyle name="Normal 10 4 2 2 2" xfId="3653"/>
    <cellStyle name="Normal 10 4 2 2 2 2" xfId="12554"/>
    <cellStyle name="Normal 10 4 2 2 2 2 2" xfId="20369"/>
    <cellStyle name="Normal 10 4 2 2 2 3" xfId="16482"/>
    <cellStyle name="Normal 10 4 2 2 3" xfId="12553"/>
    <cellStyle name="Normal 10 4 2 2 3 2" xfId="20368"/>
    <cellStyle name="Normal 10 4 2 2 4" xfId="16481"/>
    <cellStyle name="Normal 10 4 2 3" xfId="3654"/>
    <cellStyle name="Normal 10 4 2 3 2" xfId="12555"/>
    <cellStyle name="Normal 10 4 2 3 2 2" xfId="20370"/>
    <cellStyle name="Normal 10 4 2 3 3" xfId="16483"/>
    <cellStyle name="Normal 10 4 2 4" xfId="12552"/>
    <cellStyle name="Normal 10 4 2 4 2" xfId="20367"/>
    <cellStyle name="Normal 10 4 2 5" xfId="16480"/>
    <cellStyle name="Normal 10 4 3" xfId="3655"/>
    <cellStyle name="Normal 10 4 3 2" xfId="3656"/>
    <cellStyle name="Normal 10 4 3 2 2" xfId="12557"/>
    <cellStyle name="Normal 10 4 3 2 2 2" xfId="20372"/>
    <cellStyle name="Normal 10 4 3 2 3" xfId="16485"/>
    <cellStyle name="Normal 10 4 3 3" xfId="12556"/>
    <cellStyle name="Normal 10 4 3 3 2" xfId="20371"/>
    <cellStyle name="Normal 10 4 3 4" xfId="16484"/>
    <cellStyle name="Normal 10 4 4" xfId="3657"/>
    <cellStyle name="Normal 10 4 4 2" xfId="12558"/>
    <cellStyle name="Normal 10 4 4 2 2" xfId="20373"/>
    <cellStyle name="Normal 10 4 4 3" xfId="16486"/>
    <cellStyle name="Normal 10 4 5" xfId="12551"/>
    <cellStyle name="Normal 10 4 5 2" xfId="20366"/>
    <cellStyle name="Normal 10 4 6" xfId="16479"/>
    <cellStyle name="Normal 10 5" xfId="3658"/>
    <cellStyle name="Normal 10 5 2" xfId="3659"/>
    <cellStyle name="Normal 10 5 2 2" xfId="3660"/>
    <cellStyle name="Normal 10 5 2 2 2" xfId="3661"/>
    <cellStyle name="Normal 10 5 2 2 2 2" xfId="12562"/>
    <cellStyle name="Normal 10 5 2 2 2 2 2" xfId="20377"/>
    <cellStyle name="Normal 10 5 2 2 2 3" xfId="16490"/>
    <cellStyle name="Normal 10 5 2 2 3" xfId="12561"/>
    <cellStyle name="Normal 10 5 2 2 3 2" xfId="20376"/>
    <cellStyle name="Normal 10 5 2 2 4" xfId="16489"/>
    <cellStyle name="Normal 10 5 2 3" xfId="3662"/>
    <cellStyle name="Normal 10 5 2 3 2" xfId="12563"/>
    <cellStyle name="Normal 10 5 2 3 2 2" xfId="20378"/>
    <cellStyle name="Normal 10 5 2 3 3" xfId="16491"/>
    <cellStyle name="Normal 10 5 2 4" xfId="12560"/>
    <cellStyle name="Normal 10 5 2 4 2" xfId="20375"/>
    <cellStyle name="Normal 10 5 2 5" xfId="16488"/>
    <cellStyle name="Normal 10 5 3" xfId="3663"/>
    <cellStyle name="Normal 10 5 3 2" xfId="3664"/>
    <cellStyle name="Normal 10 5 3 2 2" xfId="12565"/>
    <cellStyle name="Normal 10 5 3 2 2 2" xfId="20380"/>
    <cellStyle name="Normal 10 5 3 2 3" xfId="16493"/>
    <cellStyle name="Normal 10 5 3 3" xfId="12564"/>
    <cellStyle name="Normal 10 5 3 3 2" xfId="20379"/>
    <cellStyle name="Normal 10 5 3 4" xfId="16492"/>
    <cellStyle name="Normal 10 5 4" xfId="3665"/>
    <cellStyle name="Normal 10 5 4 2" xfId="12566"/>
    <cellStyle name="Normal 10 5 4 2 2" xfId="20381"/>
    <cellStyle name="Normal 10 5 4 3" xfId="16494"/>
    <cellStyle name="Normal 10 5 5" xfId="12559"/>
    <cellStyle name="Normal 10 5 5 2" xfId="20374"/>
    <cellStyle name="Normal 10 5 6" xfId="16487"/>
    <cellStyle name="Normal 10 6" xfId="3666"/>
    <cellStyle name="Normal 10 6 2" xfId="3667"/>
    <cellStyle name="Normal 10 6 2 2" xfId="3668"/>
    <cellStyle name="Normal 10 6 2 2 2" xfId="12569"/>
    <cellStyle name="Normal 10 6 2 2 2 2" xfId="20384"/>
    <cellStyle name="Normal 10 6 2 2 3" xfId="16497"/>
    <cellStyle name="Normal 10 6 2 3" xfId="12568"/>
    <cellStyle name="Normal 10 6 2 3 2" xfId="20383"/>
    <cellStyle name="Normal 10 6 2 4" xfId="16496"/>
    <cellStyle name="Normal 10 6 3" xfId="3669"/>
    <cellStyle name="Normal 10 6 3 2" xfId="12570"/>
    <cellStyle name="Normal 10 6 3 2 2" xfId="20385"/>
    <cellStyle name="Normal 10 6 3 3" xfId="16498"/>
    <cellStyle name="Normal 10 6 4" xfId="12567"/>
    <cellStyle name="Normal 10 6 4 2" xfId="20382"/>
    <cellStyle name="Normal 10 6 5" xfId="16495"/>
    <cellStyle name="Normal 10 7" xfId="3670"/>
    <cellStyle name="Normal 10 7 2" xfId="3671"/>
    <cellStyle name="Normal 10 7 2 2" xfId="12572"/>
    <cellStyle name="Normal 10 7 2 2 2" xfId="20387"/>
    <cellStyle name="Normal 10 7 2 3" xfId="16500"/>
    <cellStyle name="Normal 10 7 3" xfId="12571"/>
    <cellStyle name="Normal 10 7 3 2" xfId="20386"/>
    <cellStyle name="Normal 10 7 4" xfId="16499"/>
    <cellStyle name="Normal 10 8" xfId="3672"/>
    <cellStyle name="Normal 10 8 2" xfId="3673"/>
    <cellStyle name="Normal 10 8 2 2" xfId="12574"/>
    <cellStyle name="Normal 10 8 2 2 2" xfId="20389"/>
    <cellStyle name="Normal 10 8 2 3" xfId="16502"/>
    <cellStyle name="Normal 10 8 3" xfId="12573"/>
    <cellStyle name="Normal 10 8 3 2" xfId="20388"/>
    <cellStyle name="Normal 10 8 4" xfId="16501"/>
    <cellStyle name="Normal 10 9" xfId="3674"/>
    <cellStyle name="Normal 10 9 2" xfId="12575"/>
    <cellStyle name="Normal 10 9 2 2" xfId="20390"/>
    <cellStyle name="Normal 10 9 3" xfId="16503"/>
    <cellStyle name="Normal 11" xfId="3675"/>
    <cellStyle name="Normal 11 2" xfId="3676"/>
    <cellStyle name="Normal 11 3" xfId="9033"/>
    <cellStyle name="Normal 12" xfId="3677"/>
    <cellStyle name="Normal 12 2" xfId="3678"/>
    <cellStyle name="Normal 12 3" xfId="3679"/>
    <cellStyle name="Normal 12 4" xfId="3680"/>
    <cellStyle name="Normal 12 4 2" xfId="3681"/>
    <cellStyle name="Normal 12 4 2 2" xfId="3682"/>
    <cellStyle name="Normal 12 4 2 2 2" xfId="3683"/>
    <cellStyle name="Normal 12 4 2 2 2 2" xfId="12579"/>
    <cellStyle name="Normal 12 4 2 2 2 2 2" xfId="20394"/>
    <cellStyle name="Normal 12 4 2 2 2 3" xfId="16507"/>
    <cellStyle name="Normal 12 4 2 2 3" xfId="12578"/>
    <cellStyle name="Normal 12 4 2 2 3 2" xfId="20393"/>
    <cellStyle name="Normal 12 4 2 2 4" xfId="16506"/>
    <cellStyle name="Normal 12 4 2 3" xfId="3684"/>
    <cellStyle name="Normal 12 4 2 3 2" xfId="12580"/>
    <cellStyle name="Normal 12 4 2 3 2 2" xfId="20395"/>
    <cellStyle name="Normal 12 4 2 3 3" xfId="16508"/>
    <cellStyle name="Normal 12 4 2 4" xfId="12577"/>
    <cellStyle name="Normal 12 4 2 4 2" xfId="20392"/>
    <cellStyle name="Normal 12 4 2 5" xfId="16505"/>
    <cellStyle name="Normal 12 4 3" xfId="3685"/>
    <cellStyle name="Normal 12 4 3 2" xfId="3686"/>
    <cellStyle name="Normal 12 4 3 2 2" xfId="12582"/>
    <cellStyle name="Normal 12 4 3 2 2 2" xfId="20397"/>
    <cellStyle name="Normal 12 4 3 2 3" xfId="16510"/>
    <cellStyle name="Normal 12 4 3 3" xfId="12581"/>
    <cellStyle name="Normal 12 4 3 3 2" xfId="20396"/>
    <cellStyle name="Normal 12 4 3 4" xfId="16509"/>
    <cellStyle name="Normal 12 4 4" xfId="3687"/>
    <cellStyle name="Normal 12 4 4 2" xfId="12583"/>
    <cellStyle name="Normal 12 4 4 2 2" xfId="20398"/>
    <cellStyle name="Normal 12 4 4 3" xfId="16511"/>
    <cellStyle name="Normal 12 4 5" xfId="12576"/>
    <cellStyle name="Normal 12 4 5 2" xfId="20391"/>
    <cellStyle name="Normal 12 4 6" xfId="16504"/>
    <cellStyle name="Normal 12 5" xfId="3688"/>
    <cellStyle name="Normal 12 6" xfId="3689"/>
    <cellStyle name="Normal 12 6 2" xfId="3690"/>
    <cellStyle name="Normal 12 6 2 2" xfId="3691"/>
    <cellStyle name="Normal 12 6 2 2 2" xfId="3692"/>
    <cellStyle name="Normal 12 6 2 2 2 2" xfId="12587"/>
    <cellStyle name="Normal 12 6 2 2 2 2 2" xfId="20402"/>
    <cellStyle name="Normal 12 6 2 2 2 3" xfId="16515"/>
    <cellStyle name="Normal 12 6 2 2 3" xfId="12586"/>
    <cellStyle name="Normal 12 6 2 2 3 2" xfId="20401"/>
    <cellStyle name="Normal 12 6 2 2 4" xfId="16514"/>
    <cellStyle name="Normal 12 6 2 3" xfId="3693"/>
    <cellStyle name="Normal 12 6 2 3 2" xfId="12588"/>
    <cellStyle name="Normal 12 6 2 3 2 2" xfId="20403"/>
    <cellStyle name="Normal 12 6 2 3 3" xfId="16516"/>
    <cellStyle name="Normal 12 6 2 4" xfId="12585"/>
    <cellStyle name="Normal 12 6 2 4 2" xfId="20400"/>
    <cellStyle name="Normal 12 6 2 5" xfId="16513"/>
    <cellStyle name="Normal 12 6 3" xfId="3694"/>
    <cellStyle name="Normal 12 6 3 2" xfId="3695"/>
    <cellStyle name="Normal 12 6 3 2 2" xfId="12590"/>
    <cellStyle name="Normal 12 6 3 2 2 2" xfId="20405"/>
    <cellStyle name="Normal 12 6 3 2 3" xfId="16518"/>
    <cellStyle name="Normal 12 6 3 3" xfId="12589"/>
    <cellStyle name="Normal 12 6 3 3 2" xfId="20404"/>
    <cellStyle name="Normal 12 6 3 4" xfId="16517"/>
    <cellStyle name="Normal 12 6 4" xfId="3696"/>
    <cellStyle name="Normal 12 6 4 2" xfId="12591"/>
    <cellStyle name="Normal 12 6 4 2 2" xfId="20406"/>
    <cellStyle name="Normal 12 6 4 3" xfId="16519"/>
    <cellStyle name="Normal 12 6 5" xfId="12584"/>
    <cellStyle name="Normal 12 6 5 2" xfId="20399"/>
    <cellStyle name="Normal 12 6 6" xfId="16512"/>
    <cellStyle name="Normal 13" xfId="3697"/>
    <cellStyle name="Normal 13 2" xfId="3698"/>
    <cellStyle name="Normal 13 2 2" xfId="3699"/>
    <cellStyle name="Normal 13 2 2 2" xfId="3700"/>
    <cellStyle name="Normal 13 2 2 2 2" xfId="12595"/>
    <cellStyle name="Normal 13 2 2 2 2 2" xfId="20410"/>
    <cellStyle name="Normal 13 2 2 2 3" xfId="16523"/>
    <cellStyle name="Normal 13 2 2 3" xfId="12594"/>
    <cellStyle name="Normal 13 2 2 3 2" xfId="20409"/>
    <cellStyle name="Normal 13 2 2 4" xfId="16522"/>
    <cellStyle name="Normal 13 2 3" xfId="3701"/>
    <cellStyle name="Normal 13 2 3 2" xfId="3702"/>
    <cellStyle name="Normal 13 2 3 2 2" xfId="12597"/>
    <cellStyle name="Normal 13 2 3 2 2 2" xfId="20412"/>
    <cellStyle name="Normal 13 2 3 2 3" xfId="16525"/>
    <cellStyle name="Normal 13 2 3 3" xfId="12596"/>
    <cellStyle name="Normal 13 2 3 3 2" xfId="20411"/>
    <cellStyle name="Normal 13 2 3 4" xfId="16524"/>
    <cellStyle name="Normal 13 2 4" xfId="3703"/>
    <cellStyle name="Normal 13 2 4 2" xfId="12598"/>
    <cellStyle name="Normal 13 2 4 2 2" xfId="20413"/>
    <cellStyle name="Normal 13 2 4 3" xfId="16526"/>
    <cellStyle name="Normal 13 2 5" xfId="12593"/>
    <cellStyle name="Normal 13 2 5 2" xfId="20408"/>
    <cellStyle name="Normal 13 2 6" xfId="16521"/>
    <cellStyle name="Normal 13 3" xfId="3704"/>
    <cellStyle name="Normal 13 3 2" xfId="3705"/>
    <cellStyle name="Normal 13 3 2 2" xfId="3706"/>
    <cellStyle name="Normal 13 3 2 2 2" xfId="12601"/>
    <cellStyle name="Normal 13 3 2 2 2 2" xfId="20416"/>
    <cellStyle name="Normal 13 3 2 2 3" xfId="16529"/>
    <cellStyle name="Normal 13 3 2 3" xfId="12600"/>
    <cellStyle name="Normal 13 3 2 3 2" xfId="20415"/>
    <cellStyle name="Normal 13 3 2 4" xfId="16528"/>
    <cellStyle name="Normal 13 3 3" xfId="3707"/>
    <cellStyle name="Normal 13 3 3 2" xfId="12602"/>
    <cellStyle name="Normal 13 3 3 2 2" xfId="20417"/>
    <cellStyle name="Normal 13 3 3 3" xfId="16530"/>
    <cellStyle name="Normal 13 3 4" xfId="12599"/>
    <cellStyle name="Normal 13 3 4 2" xfId="20414"/>
    <cellStyle name="Normal 13 3 5" xfId="16527"/>
    <cellStyle name="Normal 13 4" xfId="3708"/>
    <cellStyle name="Normal 13 4 2" xfId="3709"/>
    <cellStyle name="Normal 13 4 2 2" xfId="12604"/>
    <cellStyle name="Normal 13 4 2 2 2" xfId="20419"/>
    <cellStyle name="Normal 13 4 2 3" xfId="16532"/>
    <cellStyle name="Normal 13 4 3" xfId="12603"/>
    <cellStyle name="Normal 13 4 3 2" xfId="20418"/>
    <cellStyle name="Normal 13 4 4" xfId="16531"/>
    <cellStyle name="Normal 13 5" xfId="3710"/>
    <cellStyle name="Normal 13 5 2" xfId="12605"/>
    <cellStyle name="Normal 13 5 2 2" xfId="20420"/>
    <cellStyle name="Normal 13 5 3" xfId="16533"/>
    <cellStyle name="Normal 13 6" xfId="12592"/>
    <cellStyle name="Normal 13 6 2" xfId="20407"/>
    <cellStyle name="Normal 13 7" xfId="16520"/>
    <cellStyle name="Normal 14" xfId="3711"/>
    <cellStyle name="Normal 14 2" xfId="3712"/>
    <cellStyle name="Normal 14 2 2" xfId="3713"/>
    <cellStyle name="Normal 14 2 2 2" xfId="3714"/>
    <cellStyle name="Normal 14 2 2 2 2" xfId="12609"/>
    <cellStyle name="Normal 14 2 2 2 2 2" xfId="20424"/>
    <cellStyle name="Normal 14 2 2 2 3" xfId="16537"/>
    <cellStyle name="Normal 14 2 2 3" xfId="12608"/>
    <cellStyle name="Normal 14 2 2 3 2" xfId="20423"/>
    <cellStyle name="Normal 14 2 2 4" xfId="16536"/>
    <cellStyle name="Normal 14 2 3" xfId="3715"/>
    <cellStyle name="Normal 14 2 3 2" xfId="12610"/>
    <cellStyle name="Normal 14 2 3 2 2" xfId="20425"/>
    <cellStyle name="Normal 14 2 3 3" xfId="16538"/>
    <cellStyle name="Normal 14 2 4" xfId="12607"/>
    <cellStyle name="Normal 14 2 4 2" xfId="20422"/>
    <cellStyle name="Normal 14 2 5" xfId="16535"/>
    <cellStyle name="Normal 14 3" xfId="3716"/>
    <cellStyle name="Normal 14 3 2" xfId="3717"/>
    <cellStyle name="Normal 14 3 2 2" xfId="12612"/>
    <cellStyle name="Normal 14 3 2 2 2" xfId="20427"/>
    <cellStyle name="Normal 14 3 2 3" xfId="16540"/>
    <cellStyle name="Normal 14 3 3" xfId="12611"/>
    <cellStyle name="Normal 14 3 3 2" xfId="20426"/>
    <cellStyle name="Normal 14 3 4" xfId="16539"/>
    <cellStyle name="Normal 14 4" xfId="3718"/>
    <cellStyle name="Normal 14 4 2" xfId="12613"/>
    <cellStyle name="Normal 14 4 2 2" xfId="20428"/>
    <cellStyle name="Normal 14 4 3" xfId="16541"/>
    <cellStyle name="Normal 14 5" xfId="12606"/>
    <cellStyle name="Normal 14 5 2" xfId="20421"/>
    <cellStyle name="Normal 14 6" xfId="16534"/>
    <cellStyle name="Normal 15" xfId="3719"/>
    <cellStyle name="Normal 15 2" xfId="3720"/>
    <cellStyle name="Normal 15 2 2" xfId="3721"/>
    <cellStyle name="Normal 15 2 2 2" xfId="12616"/>
    <cellStyle name="Normal 15 2 2 2 2" xfId="20431"/>
    <cellStyle name="Normal 15 2 2 3" xfId="16544"/>
    <cellStyle name="Normal 15 2 3" xfId="12615"/>
    <cellStyle name="Normal 15 2 3 2" xfId="20430"/>
    <cellStyle name="Normal 15 2 4" xfId="16543"/>
    <cellStyle name="Normal 15 3" xfId="3722"/>
    <cellStyle name="Normal 15 3 2" xfId="3723"/>
    <cellStyle name="Normal 15 3 2 2" xfId="12618"/>
    <cellStyle name="Normal 15 3 2 2 2" xfId="20433"/>
    <cellStyle name="Normal 15 3 2 3" xfId="16546"/>
    <cellStyle name="Normal 15 3 3" xfId="12617"/>
    <cellStyle name="Normal 15 3 3 2" xfId="20432"/>
    <cellStyle name="Normal 15 3 4" xfId="16545"/>
    <cellStyle name="Normal 15 4" xfId="3724"/>
    <cellStyle name="Normal 15 4 2" xfId="12619"/>
    <cellStyle name="Normal 15 4 2 2" xfId="20434"/>
    <cellStyle name="Normal 15 4 3" xfId="16547"/>
    <cellStyle name="Normal 15 5" xfId="12614"/>
    <cellStyle name="Normal 15 5 2" xfId="20429"/>
    <cellStyle name="Normal 15 6" xfId="16542"/>
    <cellStyle name="Normal 16" xfId="3725"/>
    <cellStyle name="Normal 16 2" xfId="3726"/>
    <cellStyle name="Normal 16 2 2" xfId="3727"/>
    <cellStyle name="Normal 16 2 2 2" xfId="12622"/>
    <cellStyle name="Normal 16 2 2 2 2" xfId="20437"/>
    <cellStyle name="Normal 16 2 2 3" xfId="16550"/>
    <cellStyle name="Normal 16 2 3" xfId="12621"/>
    <cellStyle name="Normal 16 2 3 2" xfId="20436"/>
    <cellStyle name="Normal 16 2 4" xfId="16549"/>
    <cellStyle name="Normal 16 3" xfId="3728"/>
    <cellStyle name="Normal 16 3 2" xfId="12623"/>
    <cellStyle name="Normal 16 3 2 2" xfId="20438"/>
    <cellStyle name="Normal 16 3 3" xfId="16551"/>
    <cellStyle name="Normal 16 4" xfId="12620"/>
    <cellStyle name="Normal 16 4 2" xfId="20435"/>
    <cellStyle name="Normal 16 5" xfId="16548"/>
    <cellStyle name="Normal 17" xfId="3729"/>
    <cellStyle name="Normal 17 2" xfId="3730"/>
    <cellStyle name="Normal 17 2 2" xfId="12625"/>
    <cellStyle name="Normal 17 2 2 2" xfId="20440"/>
    <cellStyle name="Normal 17 2 3" xfId="16553"/>
    <cellStyle name="Normal 17 3" xfId="12624"/>
    <cellStyle name="Normal 17 3 2" xfId="20439"/>
    <cellStyle name="Normal 17 4" xfId="16552"/>
    <cellStyle name="Normal 18" xfId="3731"/>
    <cellStyle name="Normal 18 2" xfId="3732"/>
    <cellStyle name="Normal 18 2 2" xfId="12627"/>
    <cellStyle name="Normal 18 2 2 2" xfId="20442"/>
    <cellStyle name="Normal 18 2 3" xfId="16555"/>
    <cellStyle name="Normal 18 3" xfId="3733"/>
    <cellStyle name="Normal 18 4" xfId="12626"/>
    <cellStyle name="Normal 18 4 2" xfId="20441"/>
    <cellStyle name="Normal 18 5" xfId="16554"/>
    <cellStyle name="Normal 19" xfId="3734"/>
    <cellStyle name="Normal 2" xfId="4"/>
    <cellStyle name="Normal 2 10" xfId="8956"/>
    <cellStyle name="Normal 2 11" xfId="12628"/>
    <cellStyle name="Normal 2 11 2" xfId="20443"/>
    <cellStyle name="Normal 2 2" xfId="14"/>
    <cellStyle name="Normal 2 2 10" xfId="3736"/>
    <cellStyle name="Normal 2 2 10 2" xfId="3737"/>
    <cellStyle name="Normal 2 2 10 2 2" xfId="3738"/>
    <cellStyle name="Normal 2 2 10 2 2 2" xfId="12631"/>
    <cellStyle name="Normal 2 2 10 2 2 2 2" xfId="20446"/>
    <cellStyle name="Normal 2 2 10 2 2 3" xfId="16559"/>
    <cellStyle name="Normal 2 2 10 2 3" xfId="12630"/>
    <cellStyle name="Normal 2 2 10 2 3 2" xfId="20445"/>
    <cellStyle name="Normal 2 2 10 2 4" xfId="16558"/>
    <cellStyle name="Normal 2 2 10 3" xfId="3739"/>
    <cellStyle name="Normal 2 2 10 3 2" xfId="12632"/>
    <cellStyle name="Normal 2 2 10 3 2 2" xfId="20447"/>
    <cellStyle name="Normal 2 2 10 3 3" xfId="16560"/>
    <cellStyle name="Normal 2 2 10 4" xfId="12629"/>
    <cellStyle name="Normal 2 2 10 4 2" xfId="20444"/>
    <cellStyle name="Normal 2 2 10 5" xfId="16557"/>
    <cellStyle name="Normal 2 2 11" xfId="3740"/>
    <cellStyle name="Normal 2 2 11 2" xfId="3741"/>
    <cellStyle name="Normal 2 2 11 2 2" xfId="12634"/>
    <cellStyle name="Normal 2 2 11 2 2 2" xfId="20449"/>
    <cellStyle name="Normal 2 2 11 2 3" xfId="16562"/>
    <cellStyle name="Normal 2 2 11 3" xfId="12633"/>
    <cellStyle name="Normal 2 2 11 3 2" xfId="20448"/>
    <cellStyle name="Normal 2 2 11 4" xfId="16561"/>
    <cellStyle name="Normal 2 2 12" xfId="3742"/>
    <cellStyle name="Normal 2 2 12 2" xfId="3743"/>
    <cellStyle name="Normal 2 2 12 2 2" xfId="12636"/>
    <cellStyle name="Normal 2 2 12 2 2 2" xfId="20451"/>
    <cellStyle name="Normal 2 2 12 2 3" xfId="16564"/>
    <cellStyle name="Normal 2 2 12 3" xfId="12635"/>
    <cellStyle name="Normal 2 2 12 3 2" xfId="20450"/>
    <cellStyle name="Normal 2 2 12 4" xfId="16563"/>
    <cellStyle name="Normal 2 2 13" xfId="3744"/>
    <cellStyle name="Normal 2 2 13 2" xfId="12637"/>
    <cellStyle name="Normal 2 2 13 2 2" xfId="20452"/>
    <cellStyle name="Normal 2 2 13 3" xfId="16565"/>
    <cellStyle name="Normal 2 2 14" xfId="3745"/>
    <cellStyle name="Normal 2 2 15" xfId="8901"/>
    <cellStyle name="Normal 2 2 2" xfId="15"/>
    <cellStyle name="Normal 2 2 2 10" xfId="3747"/>
    <cellStyle name="Normal 2 2 2 10 2" xfId="3748"/>
    <cellStyle name="Normal 2 2 2 10 2 2" xfId="12640"/>
    <cellStyle name="Normal 2 2 2 10 2 2 2" xfId="20455"/>
    <cellStyle name="Normal 2 2 2 10 2 3" xfId="16568"/>
    <cellStyle name="Normal 2 2 2 10 3" xfId="12639"/>
    <cellStyle name="Normal 2 2 2 10 3 2" xfId="20454"/>
    <cellStyle name="Normal 2 2 2 10 4" xfId="16567"/>
    <cellStyle name="Normal 2 2 2 11" xfId="3749"/>
    <cellStyle name="Normal 2 2 2 11 2" xfId="12641"/>
    <cellStyle name="Normal 2 2 2 11 2 2" xfId="20456"/>
    <cellStyle name="Normal 2 2 2 11 3" xfId="16569"/>
    <cellStyle name="Normal 2 2 2 12" xfId="3746"/>
    <cellStyle name="Normal 2 2 2 12 2" xfId="16566"/>
    <cellStyle name="Normal 2 2 2 13" xfId="12638"/>
    <cellStyle name="Normal 2 2 2 13 2" xfId="20453"/>
    <cellStyle name="Normal 2 2 2 2" xfId="3750"/>
    <cellStyle name="Normal 2 2 2 2 10" xfId="3751"/>
    <cellStyle name="Normal 2 2 2 2 10 2" xfId="12643"/>
    <cellStyle name="Normal 2 2 2 2 10 2 2" xfId="20458"/>
    <cellStyle name="Normal 2 2 2 2 10 3" xfId="16571"/>
    <cellStyle name="Normal 2 2 2 2 11" xfId="12642"/>
    <cellStyle name="Normal 2 2 2 2 11 2" xfId="20457"/>
    <cellStyle name="Normal 2 2 2 2 12" xfId="16570"/>
    <cellStyle name="Normal 2 2 2 2 2" xfId="3752"/>
    <cellStyle name="Normal 2 2 2 2 2 10" xfId="16572"/>
    <cellStyle name="Normal 2 2 2 2 2 2" xfId="3753"/>
    <cellStyle name="Normal 2 2 2 2 2 2 2" xfId="3754"/>
    <cellStyle name="Normal 2 2 2 2 2 2 2 2" xfId="3755"/>
    <cellStyle name="Normal 2 2 2 2 2 2 2 2 2" xfId="3756"/>
    <cellStyle name="Normal 2 2 2 2 2 2 2 2 2 2" xfId="3757"/>
    <cellStyle name="Normal 2 2 2 2 2 2 2 2 2 2 2" xfId="12649"/>
    <cellStyle name="Normal 2 2 2 2 2 2 2 2 2 2 2 2" xfId="20464"/>
    <cellStyle name="Normal 2 2 2 2 2 2 2 2 2 2 3" xfId="16577"/>
    <cellStyle name="Normal 2 2 2 2 2 2 2 2 2 3" xfId="12648"/>
    <cellStyle name="Normal 2 2 2 2 2 2 2 2 2 3 2" xfId="20463"/>
    <cellStyle name="Normal 2 2 2 2 2 2 2 2 2 4" xfId="16576"/>
    <cellStyle name="Normal 2 2 2 2 2 2 2 2 3" xfId="3758"/>
    <cellStyle name="Normal 2 2 2 2 2 2 2 2 3 2" xfId="3759"/>
    <cellStyle name="Normal 2 2 2 2 2 2 2 2 3 2 2" xfId="12651"/>
    <cellStyle name="Normal 2 2 2 2 2 2 2 2 3 2 2 2" xfId="20466"/>
    <cellStyle name="Normal 2 2 2 2 2 2 2 2 3 2 3" xfId="16579"/>
    <cellStyle name="Normal 2 2 2 2 2 2 2 2 3 3" xfId="12650"/>
    <cellStyle name="Normal 2 2 2 2 2 2 2 2 3 3 2" xfId="20465"/>
    <cellStyle name="Normal 2 2 2 2 2 2 2 2 3 4" xfId="16578"/>
    <cellStyle name="Normal 2 2 2 2 2 2 2 2 4" xfId="3760"/>
    <cellStyle name="Normal 2 2 2 2 2 2 2 2 4 2" xfId="12652"/>
    <cellStyle name="Normal 2 2 2 2 2 2 2 2 4 2 2" xfId="20467"/>
    <cellStyle name="Normal 2 2 2 2 2 2 2 2 4 3" xfId="16580"/>
    <cellStyle name="Normal 2 2 2 2 2 2 2 2 5" xfId="12647"/>
    <cellStyle name="Normal 2 2 2 2 2 2 2 2 5 2" xfId="20462"/>
    <cellStyle name="Normal 2 2 2 2 2 2 2 2 6" xfId="16575"/>
    <cellStyle name="Normal 2 2 2 2 2 2 2 3" xfId="3761"/>
    <cellStyle name="Normal 2 2 2 2 2 2 2 3 2" xfId="3762"/>
    <cellStyle name="Normal 2 2 2 2 2 2 2 3 2 2" xfId="3763"/>
    <cellStyle name="Normal 2 2 2 2 2 2 2 3 2 2 2" xfId="12655"/>
    <cellStyle name="Normal 2 2 2 2 2 2 2 3 2 2 2 2" xfId="20470"/>
    <cellStyle name="Normal 2 2 2 2 2 2 2 3 2 2 3" xfId="16583"/>
    <cellStyle name="Normal 2 2 2 2 2 2 2 3 2 3" xfId="12654"/>
    <cellStyle name="Normal 2 2 2 2 2 2 2 3 2 3 2" xfId="20469"/>
    <cellStyle name="Normal 2 2 2 2 2 2 2 3 2 4" xfId="16582"/>
    <cellStyle name="Normal 2 2 2 2 2 2 2 3 3" xfId="3764"/>
    <cellStyle name="Normal 2 2 2 2 2 2 2 3 3 2" xfId="12656"/>
    <cellStyle name="Normal 2 2 2 2 2 2 2 3 3 2 2" xfId="20471"/>
    <cellStyle name="Normal 2 2 2 2 2 2 2 3 3 3" xfId="16584"/>
    <cellStyle name="Normal 2 2 2 2 2 2 2 3 4" xfId="12653"/>
    <cellStyle name="Normal 2 2 2 2 2 2 2 3 4 2" xfId="20468"/>
    <cellStyle name="Normal 2 2 2 2 2 2 2 3 5" xfId="16581"/>
    <cellStyle name="Normal 2 2 2 2 2 2 2 4" xfId="3765"/>
    <cellStyle name="Normal 2 2 2 2 2 2 2 4 2" xfId="3766"/>
    <cellStyle name="Normal 2 2 2 2 2 2 2 4 2 2" xfId="12658"/>
    <cellStyle name="Normal 2 2 2 2 2 2 2 4 2 2 2" xfId="20473"/>
    <cellStyle name="Normal 2 2 2 2 2 2 2 4 2 3" xfId="16586"/>
    <cellStyle name="Normal 2 2 2 2 2 2 2 4 3" xfId="12657"/>
    <cellStyle name="Normal 2 2 2 2 2 2 2 4 3 2" xfId="20472"/>
    <cellStyle name="Normal 2 2 2 2 2 2 2 4 4" xfId="16585"/>
    <cellStyle name="Normal 2 2 2 2 2 2 2 5" xfId="3767"/>
    <cellStyle name="Normal 2 2 2 2 2 2 2 5 2" xfId="12659"/>
    <cellStyle name="Normal 2 2 2 2 2 2 2 5 2 2" xfId="20474"/>
    <cellStyle name="Normal 2 2 2 2 2 2 2 5 3" xfId="16587"/>
    <cellStyle name="Normal 2 2 2 2 2 2 2 6" xfId="12646"/>
    <cellStyle name="Normal 2 2 2 2 2 2 2 6 2" xfId="20461"/>
    <cellStyle name="Normal 2 2 2 2 2 2 2 7" xfId="16574"/>
    <cellStyle name="Normal 2 2 2 2 2 2 3" xfId="3768"/>
    <cellStyle name="Normal 2 2 2 2 2 2 3 2" xfId="3769"/>
    <cellStyle name="Normal 2 2 2 2 2 2 3 2 2" xfId="3770"/>
    <cellStyle name="Normal 2 2 2 2 2 2 3 2 2 2" xfId="3771"/>
    <cellStyle name="Normal 2 2 2 2 2 2 3 2 2 2 2" xfId="12663"/>
    <cellStyle name="Normal 2 2 2 2 2 2 3 2 2 2 2 2" xfId="20478"/>
    <cellStyle name="Normal 2 2 2 2 2 2 3 2 2 2 3" xfId="16591"/>
    <cellStyle name="Normal 2 2 2 2 2 2 3 2 2 3" xfId="12662"/>
    <cellStyle name="Normal 2 2 2 2 2 2 3 2 2 3 2" xfId="20477"/>
    <cellStyle name="Normal 2 2 2 2 2 2 3 2 2 4" xfId="16590"/>
    <cellStyle name="Normal 2 2 2 2 2 2 3 2 3" xfId="3772"/>
    <cellStyle name="Normal 2 2 2 2 2 2 3 2 3 2" xfId="12664"/>
    <cellStyle name="Normal 2 2 2 2 2 2 3 2 3 2 2" xfId="20479"/>
    <cellStyle name="Normal 2 2 2 2 2 2 3 2 3 3" xfId="16592"/>
    <cellStyle name="Normal 2 2 2 2 2 2 3 2 4" xfId="12661"/>
    <cellStyle name="Normal 2 2 2 2 2 2 3 2 4 2" xfId="20476"/>
    <cellStyle name="Normal 2 2 2 2 2 2 3 2 5" xfId="16589"/>
    <cellStyle name="Normal 2 2 2 2 2 2 3 3" xfId="3773"/>
    <cellStyle name="Normal 2 2 2 2 2 2 3 3 2" xfId="3774"/>
    <cellStyle name="Normal 2 2 2 2 2 2 3 3 2 2" xfId="12666"/>
    <cellStyle name="Normal 2 2 2 2 2 2 3 3 2 2 2" xfId="20481"/>
    <cellStyle name="Normal 2 2 2 2 2 2 3 3 2 3" xfId="16594"/>
    <cellStyle name="Normal 2 2 2 2 2 2 3 3 3" xfId="12665"/>
    <cellStyle name="Normal 2 2 2 2 2 2 3 3 3 2" xfId="20480"/>
    <cellStyle name="Normal 2 2 2 2 2 2 3 3 4" xfId="16593"/>
    <cellStyle name="Normal 2 2 2 2 2 2 3 4" xfId="3775"/>
    <cellStyle name="Normal 2 2 2 2 2 2 3 4 2" xfId="3776"/>
    <cellStyle name="Normal 2 2 2 2 2 2 3 4 2 2" xfId="12668"/>
    <cellStyle name="Normal 2 2 2 2 2 2 3 4 2 2 2" xfId="20483"/>
    <cellStyle name="Normal 2 2 2 2 2 2 3 4 2 3" xfId="16596"/>
    <cellStyle name="Normal 2 2 2 2 2 2 3 4 3" xfId="12667"/>
    <cellStyle name="Normal 2 2 2 2 2 2 3 4 3 2" xfId="20482"/>
    <cellStyle name="Normal 2 2 2 2 2 2 3 4 4" xfId="16595"/>
    <cellStyle name="Normal 2 2 2 2 2 2 3 5" xfId="3777"/>
    <cellStyle name="Normal 2 2 2 2 2 2 3 5 2" xfId="12669"/>
    <cellStyle name="Normal 2 2 2 2 2 2 3 5 2 2" xfId="20484"/>
    <cellStyle name="Normal 2 2 2 2 2 2 3 5 3" xfId="16597"/>
    <cellStyle name="Normal 2 2 2 2 2 2 3 6" xfId="12660"/>
    <cellStyle name="Normal 2 2 2 2 2 2 3 6 2" xfId="20475"/>
    <cellStyle name="Normal 2 2 2 2 2 2 3 7" xfId="16588"/>
    <cellStyle name="Normal 2 2 2 2 2 2 4" xfId="3778"/>
    <cellStyle name="Normal 2 2 2 2 2 2 4 2" xfId="3779"/>
    <cellStyle name="Normal 2 2 2 2 2 2 4 2 2" xfId="3780"/>
    <cellStyle name="Normal 2 2 2 2 2 2 4 2 2 2" xfId="12672"/>
    <cellStyle name="Normal 2 2 2 2 2 2 4 2 2 2 2" xfId="20487"/>
    <cellStyle name="Normal 2 2 2 2 2 2 4 2 2 3" xfId="16600"/>
    <cellStyle name="Normal 2 2 2 2 2 2 4 2 3" xfId="12671"/>
    <cellStyle name="Normal 2 2 2 2 2 2 4 2 3 2" xfId="20486"/>
    <cellStyle name="Normal 2 2 2 2 2 2 4 2 4" xfId="16599"/>
    <cellStyle name="Normal 2 2 2 2 2 2 4 3" xfId="3781"/>
    <cellStyle name="Normal 2 2 2 2 2 2 4 3 2" xfId="12673"/>
    <cellStyle name="Normal 2 2 2 2 2 2 4 3 2 2" xfId="20488"/>
    <cellStyle name="Normal 2 2 2 2 2 2 4 3 3" xfId="16601"/>
    <cellStyle name="Normal 2 2 2 2 2 2 4 4" xfId="12670"/>
    <cellStyle name="Normal 2 2 2 2 2 2 4 4 2" xfId="20485"/>
    <cellStyle name="Normal 2 2 2 2 2 2 4 5" xfId="16598"/>
    <cellStyle name="Normal 2 2 2 2 2 2 5" xfId="3782"/>
    <cellStyle name="Normal 2 2 2 2 2 2 5 2" xfId="3783"/>
    <cellStyle name="Normal 2 2 2 2 2 2 5 2 2" xfId="12675"/>
    <cellStyle name="Normal 2 2 2 2 2 2 5 2 2 2" xfId="20490"/>
    <cellStyle name="Normal 2 2 2 2 2 2 5 2 3" xfId="16603"/>
    <cellStyle name="Normal 2 2 2 2 2 2 5 3" xfId="12674"/>
    <cellStyle name="Normal 2 2 2 2 2 2 5 3 2" xfId="20489"/>
    <cellStyle name="Normal 2 2 2 2 2 2 5 4" xfId="16602"/>
    <cellStyle name="Normal 2 2 2 2 2 2 6" xfId="3784"/>
    <cellStyle name="Normal 2 2 2 2 2 2 6 2" xfId="12676"/>
    <cellStyle name="Normal 2 2 2 2 2 2 6 2 2" xfId="20491"/>
    <cellStyle name="Normal 2 2 2 2 2 2 6 3" xfId="16604"/>
    <cellStyle name="Normal 2 2 2 2 2 2 7" xfId="12645"/>
    <cellStyle name="Normal 2 2 2 2 2 2 7 2" xfId="20460"/>
    <cellStyle name="Normal 2 2 2 2 2 2 8" xfId="16573"/>
    <cellStyle name="Normal 2 2 2 2 2 3" xfId="3785"/>
    <cellStyle name="Normal 2 2 2 2 2 3 2" xfId="3786"/>
    <cellStyle name="Normal 2 2 2 2 2 3 2 2" xfId="3787"/>
    <cellStyle name="Normal 2 2 2 2 2 3 2 2 2" xfId="3788"/>
    <cellStyle name="Normal 2 2 2 2 2 3 2 2 2 2" xfId="12680"/>
    <cellStyle name="Normal 2 2 2 2 2 3 2 2 2 2 2" xfId="20495"/>
    <cellStyle name="Normal 2 2 2 2 2 3 2 2 2 3" xfId="16608"/>
    <cellStyle name="Normal 2 2 2 2 2 3 2 2 3" xfId="12679"/>
    <cellStyle name="Normal 2 2 2 2 2 3 2 2 3 2" xfId="20494"/>
    <cellStyle name="Normal 2 2 2 2 2 3 2 2 4" xfId="16607"/>
    <cellStyle name="Normal 2 2 2 2 2 3 2 3" xfId="3789"/>
    <cellStyle name="Normal 2 2 2 2 2 3 2 3 2" xfId="3790"/>
    <cellStyle name="Normal 2 2 2 2 2 3 2 3 2 2" xfId="12682"/>
    <cellStyle name="Normal 2 2 2 2 2 3 2 3 2 2 2" xfId="20497"/>
    <cellStyle name="Normal 2 2 2 2 2 3 2 3 2 3" xfId="16610"/>
    <cellStyle name="Normal 2 2 2 2 2 3 2 3 3" xfId="12681"/>
    <cellStyle name="Normal 2 2 2 2 2 3 2 3 3 2" xfId="20496"/>
    <cellStyle name="Normal 2 2 2 2 2 3 2 3 4" xfId="16609"/>
    <cellStyle name="Normal 2 2 2 2 2 3 2 4" xfId="3791"/>
    <cellStyle name="Normal 2 2 2 2 2 3 2 4 2" xfId="12683"/>
    <cellStyle name="Normal 2 2 2 2 2 3 2 4 2 2" xfId="20498"/>
    <cellStyle name="Normal 2 2 2 2 2 3 2 4 3" xfId="16611"/>
    <cellStyle name="Normal 2 2 2 2 2 3 2 5" xfId="12678"/>
    <cellStyle name="Normal 2 2 2 2 2 3 2 5 2" xfId="20493"/>
    <cellStyle name="Normal 2 2 2 2 2 3 2 6" xfId="16606"/>
    <cellStyle name="Normal 2 2 2 2 2 3 3" xfId="3792"/>
    <cellStyle name="Normal 2 2 2 2 2 3 3 2" xfId="3793"/>
    <cellStyle name="Normal 2 2 2 2 2 3 3 2 2" xfId="3794"/>
    <cellStyle name="Normal 2 2 2 2 2 3 3 2 2 2" xfId="12686"/>
    <cellStyle name="Normal 2 2 2 2 2 3 3 2 2 2 2" xfId="20501"/>
    <cellStyle name="Normal 2 2 2 2 2 3 3 2 2 3" xfId="16614"/>
    <cellStyle name="Normal 2 2 2 2 2 3 3 2 3" xfId="12685"/>
    <cellStyle name="Normal 2 2 2 2 2 3 3 2 3 2" xfId="20500"/>
    <cellStyle name="Normal 2 2 2 2 2 3 3 2 4" xfId="16613"/>
    <cellStyle name="Normal 2 2 2 2 2 3 3 3" xfId="3795"/>
    <cellStyle name="Normal 2 2 2 2 2 3 3 3 2" xfId="12687"/>
    <cellStyle name="Normal 2 2 2 2 2 3 3 3 2 2" xfId="20502"/>
    <cellStyle name="Normal 2 2 2 2 2 3 3 3 3" xfId="16615"/>
    <cellStyle name="Normal 2 2 2 2 2 3 3 4" xfId="12684"/>
    <cellStyle name="Normal 2 2 2 2 2 3 3 4 2" xfId="20499"/>
    <cellStyle name="Normal 2 2 2 2 2 3 3 5" xfId="16612"/>
    <cellStyle name="Normal 2 2 2 2 2 3 4" xfId="3796"/>
    <cellStyle name="Normal 2 2 2 2 2 3 4 2" xfId="3797"/>
    <cellStyle name="Normal 2 2 2 2 2 3 4 2 2" xfId="12689"/>
    <cellStyle name="Normal 2 2 2 2 2 3 4 2 2 2" xfId="20504"/>
    <cellStyle name="Normal 2 2 2 2 2 3 4 2 3" xfId="16617"/>
    <cellStyle name="Normal 2 2 2 2 2 3 4 3" xfId="12688"/>
    <cellStyle name="Normal 2 2 2 2 2 3 4 3 2" xfId="20503"/>
    <cellStyle name="Normal 2 2 2 2 2 3 4 4" xfId="16616"/>
    <cellStyle name="Normal 2 2 2 2 2 3 5" xfId="3798"/>
    <cellStyle name="Normal 2 2 2 2 2 3 5 2" xfId="12690"/>
    <cellStyle name="Normal 2 2 2 2 2 3 5 2 2" xfId="20505"/>
    <cellStyle name="Normal 2 2 2 2 2 3 5 3" xfId="16618"/>
    <cellStyle name="Normal 2 2 2 2 2 3 6" xfId="12677"/>
    <cellStyle name="Normal 2 2 2 2 2 3 6 2" xfId="20492"/>
    <cellStyle name="Normal 2 2 2 2 2 3 7" xfId="16605"/>
    <cellStyle name="Normal 2 2 2 2 2 4" xfId="3799"/>
    <cellStyle name="Normal 2 2 2 2 2 4 2" xfId="3800"/>
    <cellStyle name="Normal 2 2 2 2 2 4 2 2" xfId="3801"/>
    <cellStyle name="Normal 2 2 2 2 2 4 2 2 2" xfId="3802"/>
    <cellStyle name="Normal 2 2 2 2 2 4 2 2 2 2" xfId="12694"/>
    <cellStyle name="Normal 2 2 2 2 2 4 2 2 2 2 2" xfId="20509"/>
    <cellStyle name="Normal 2 2 2 2 2 4 2 2 2 3" xfId="16622"/>
    <cellStyle name="Normal 2 2 2 2 2 4 2 2 3" xfId="12693"/>
    <cellStyle name="Normal 2 2 2 2 2 4 2 2 3 2" xfId="20508"/>
    <cellStyle name="Normal 2 2 2 2 2 4 2 2 4" xfId="16621"/>
    <cellStyle name="Normal 2 2 2 2 2 4 2 3" xfId="3803"/>
    <cellStyle name="Normal 2 2 2 2 2 4 2 3 2" xfId="12695"/>
    <cellStyle name="Normal 2 2 2 2 2 4 2 3 2 2" xfId="20510"/>
    <cellStyle name="Normal 2 2 2 2 2 4 2 3 3" xfId="16623"/>
    <cellStyle name="Normal 2 2 2 2 2 4 2 4" xfId="12692"/>
    <cellStyle name="Normal 2 2 2 2 2 4 2 4 2" xfId="20507"/>
    <cellStyle name="Normal 2 2 2 2 2 4 2 5" xfId="16620"/>
    <cellStyle name="Normal 2 2 2 2 2 4 3" xfId="3804"/>
    <cellStyle name="Normal 2 2 2 2 2 4 3 2" xfId="3805"/>
    <cellStyle name="Normal 2 2 2 2 2 4 3 2 2" xfId="12697"/>
    <cellStyle name="Normal 2 2 2 2 2 4 3 2 2 2" xfId="20512"/>
    <cellStyle name="Normal 2 2 2 2 2 4 3 2 3" xfId="16625"/>
    <cellStyle name="Normal 2 2 2 2 2 4 3 3" xfId="12696"/>
    <cellStyle name="Normal 2 2 2 2 2 4 3 3 2" xfId="20511"/>
    <cellStyle name="Normal 2 2 2 2 2 4 3 4" xfId="16624"/>
    <cellStyle name="Normal 2 2 2 2 2 4 4" xfId="3806"/>
    <cellStyle name="Normal 2 2 2 2 2 4 4 2" xfId="12698"/>
    <cellStyle name="Normal 2 2 2 2 2 4 4 2 2" xfId="20513"/>
    <cellStyle name="Normal 2 2 2 2 2 4 4 3" xfId="16626"/>
    <cellStyle name="Normal 2 2 2 2 2 4 5" xfId="12691"/>
    <cellStyle name="Normal 2 2 2 2 2 4 5 2" xfId="20506"/>
    <cellStyle name="Normal 2 2 2 2 2 4 6" xfId="16619"/>
    <cellStyle name="Normal 2 2 2 2 2 5" xfId="3807"/>
    <cellStyle name="Normal 2 2 2 2 2 5 2" xfId="3808"/>
    <cellStyle name="Normal 2 2 2 2 2 5 2 2" xfId="3809"/>
    <cellStyle name="Normal 2 2 2 2 2 5 2 2 2" xfId="3810"/>
    <cellStyle name="Normal 2 2 2 2 2 5 2 2 2 2" xfId="12702"/>
    <cellStyle name="Normal 2 2 2 2 2 5 2 2 2 2 2" xfId="20517"/>
    <cellStyle name="Normal 2 2 2 2 2 5 2 2 2 3" xfId="16630"/>
    <cellStyle name="Normal 2 2 2 2 2 5 2 2 3" xfId="12701"/>
    <cellStyle name="Normal 2 2 2 2 2 5 2 2 3 2" xfId="20516"/>
    <cellStyle name="Normal 2 2 2 2 2 5 2 2 4" xfId="16629"/>
    <cellStyle name="Normal 2 2 2 2 2 5 2 3" xfId="3811"/>
    <cellStyle name="Normal 2 2 2 2 2 5 2 3 2" xfId="12703"/>
    <cellStyle name="Normal 2 2 2 2 2 5 2 3 2 2" xfId="20518"/>
    <cellStyle name="Normal 2 2 2 2 2 5 2 3 3" xfId="16631"/>
    <cellStyle name="Normal 2 2 2 2 2 5 2 4" xfId="12700"/>
    <cellStyle name="Normal 2 2 2 2 2 5 2 4 2" xfId="20515"/>
    <cellStyle name="Normal 2 2 2 2 2 5 2 5" xfId="16628"/>
    <cellStyle name="Normal 2 2 2 2 2 5 3" xfId="3812"/>
    <cellStyle name="Normal 2 2 2 2 2 5 3 2" xfId="3813"/>
    <cellStyle name="Normal 2 2 2 2 2 5 3 2 2" xfId="12705"/>
    <cellStyle name="Normal 2 2 2 2 2 5 3 2 2 2" xfId="20520"/>
    <cellStyle name="Normal 2 2 2 2 2 5 3 2 3" xfId="16633"/>
    <cellStyle name="Normal 2 2 2 2 2 5 3 3" xfId="12704"/>
    <cellStyle name="Normal 2 2 2 2 2 5 3 3 2" xfId="20519"/>
    <cellStyle name="Normal 2 2 2 2 2 5 3 4" xfId="16632"/>
    <cellStyle name="Normal 2 2 2 2 2 5 4" xfId="3814"/>
    <cellStyle name="Normal 2 2 2 2 2 5 4 2" xfId="3815"/>
    <cellStyle name="Normal 2 2 2 2 2 5 4 2 2" xfId="12707"/>
    <cellStyle name="Normal 2 2 2 2 2 5 4 2 2 2" xfId="20522"/>
    <cellStyle name="Normal 2 2 2 2 2 5 4 2 3" xfId="16635"/>
    <cellStyle name="Normal 2 2 2 2 2 5 4 3" xfId="12706"/>
    <cellStyle name="Normal 2 2 2 2 2 5 4 3 2" xfId="20521"/>
    <cellStyle name="Normal 2 2 2 2 2 5 4 4" xfId="16634"/>
    <cellStyle name="Normal 2 2 2 2 2 5 5" xfId="3816"/>
    <cellStyle name="Normal 2 2 2 2 2 5 5 2" xfId="12708"/>
    <cellStyle name="Normal 2 2 2 2 2 5 5 2 2" xfId="20523"/>
    <cellStyle name="Normal 2 2 2 2 2 5 5 3" xfId="16636"/>
    <cellStyle name="Normal 2 2 2 2 2 5 6" xfId="12699"/>
    <cellStyle name="Normal 2 2 2 2 2 5 6 2" xfId="20514"/>
    <cellStyle name="Normal 2 2 2 2 2 5 7" xfId="16627"/>
    <cellStyle name="Normal 2 2 2 2 2 6" xfId="3817"/>
    <cellStyle name="Normal 2 2 2 2 2 6 2" xfId="3818"/>
    <cellStyle name="Normal 2 2 2 2 2 6 2 2" xfId="3819"/>
    <cellStyle name="Normal 2 2 2 2 2 6 2 2 2" xfId="12711"/>
    <cellStyle name="Normal 2 2 2 2 2 6 2 2 2 2" xfId="20526"/>
    <cellStyle name="Normal 2 2 2 2 2 6 2 2 3" xfId="16639"/>
    <cellStyle name="Normal 2 2 2 2 2 6 2 3" xfId="12710"/>
    <cellStyle name="Normal 2 2 2 2 2 6 2 3 2" xfId="20525"/>
    <cellStyle name="Normal 2 2 2 2 2 6 2 4" xfId="16638"/>
    <cellStyle name="Normal 2 2 2 2 2 6 3" xfId="3820"/>
    <cellStyle name="Normal 2 2 2 2 2 6 3 2" xfId="12712"/>
    <cellStyle name="Normal 2 2 2 2 2 6 3 2 2" xfId="20527"/>
    <cellStyle name="Normal 2 2 2 2 2 6 3 3" xfId="16640"/>
    <cellStyle name="Normal 2 2 2 2 2 6 4" xfId="12709"/>
    <cellStyle name="Normal 2 2 2 2 2 6 4 2" xfId="20524"/>
    <cellStyle name="Normal 2 2 2 2 2 6 5" xfId="16637"/>
    <cellStyle name="Normal 2 2 2 2 2 7" xfId="3821"/>
    <cellStyle name="Normal 2 2 2 2 2 7 2" xfId="3822"/>
    <cellStyle name="Normal 2 2 2 2 2 7 2 2" xfId="12714"/>
    <cellStyle name="Normal 2 2 2 2 2 7 2 2 2" xfId="20529"/>
    <cellStyle name="Normal 2 2 2 2 2 7 2 3" xfId="16642"/>
    <cellStyle name="Normal 2 2 2 2 2 7 3" xfId="12713"/>
    <cellStyle name="Normal 2 2 2 2 2 7 3 2" xfId="20528"/>
    <cellStyle name="Normal 2 2 2 2 2 7 4" xfId="16641"/>
    <cellStyle name="Normal 2 2 2 2 2 8" xfId="3823"/>
    <cellStyle name="Normal 2 2 2 2 2 8 2" xfId="12715"/>
    <cellStyle name="Normal 2 2 2 2 2 8 2 2" xfId="20530"/>
    <cellStyle name="Normal 2 2 2 2 2 8 3" xfId="16643"/>
    <cellStyle name="Normal 2 2 2 2 2 9" xfId="12644"/>
    <cellStyle name="Normal 2 2 2 2 2 9 2" xfId="20459"/>
    <cellStyle name="Normal 2 2 2 2 3" xfId="3824"/>
    <cellStyle name="Normal 2 2 2 2 3 2" xfId="3825"/>
    <cellStyle name="Normal 2 2 2 2 3 2 2" xfId="3826"/>
    <cellStyle name="Normal 2 2 2 2 3 2 2 2" xfId="3827"/>
    <cellStyle name="Normal 2 2 2 2 3 2 2 2 2" xfId="3828"/>
    <cellStyle name="Normal 2 2 2 2 3 2 2 2 2 2" xfId="12720"/>
    <cellStyle name="Normal 2 2 2 2 3 2 2 2 2 2 2" xfId="20535"/>
    <cellStyle name="Normal 2 2 2 2 3 2 2 2 2 3" xfId="16648"/>
    <cellStyle name="Normal 2 2 2 2 3 2 2 2 3" xfId="12719"/>
    <cellStyle name="Normal 2 2 2 2 3 2 2 2 3 2" xfId="20534"/>
    <cellStyle name="Normal 2 2 2 2 3 2 2 2 4" xfId="16647"/>
    <cellStyle name="Normal 2 2 2 2 3 2 2 3" xfId="3829"/>
    <cellStyle name="Normal 2 2 2 2 3 2 2 3 2" xfId="3830"/>
    <cellStyle name="Normal 2 2 2 2 3 2 2 3 2 2" xfId="12722"/>
    <cellStyle name="Normal 2 2 2 2 3 2 2 3 2 2 2" xfId="20537"/>
    <cellStyle name="Normal 2 2 2 2 3 2 2 3 2 3" xfId="16650"/>
    <cellStyle name="Normal 2 2 2 2 3 2 2 3 3" xfId="12721"/>
    <cellStyle name="Normal 2 2 2 2 3 2 2 3 3 2" xfId="20536"/>
    <cellStyle name="Normal 2 2 2 2 3 2 2 3 4" xfId="16649"/>
    <cellStyle name="Normal 2 2 2 2 3 2 2 4" xfId="3831"/>
    <cellStyle name="Normal 2 2 2 2 3 2 2 4 2" xfId="12723"/>
    <cellStyle name="Normal 2 2 2 2 3 2 2 4 2 2" xfId="20538"/>
    <cellStyle name="Normal 2 2 2 2 3 2 2 4 3" xfId="16651"/>
    <cellStyle name="Normal 2 2 2 2 3 2 2 5" xfId="12718"/>
    <cellStyle name="Normal 2 2 2 2 3 2 2 5 2" xfId="20533"/>
    <cellStyle name="Normal 2 2 2 2 3 2 2 6" xfId="16646"/>
    <cellStyle name="Normal 2 2 2 2 3 2 3" xfId="3832"/>
    <cellStyle name="Normal 2 2 2 2 3 2 3 2" xfId="3833"/>
    <cellStyle name="Normal 2 2 2 2 3 2 3 2 2" xfId="3834"/>
    <cellStyle name="Normal 2 2 2 2 3 2 3 2 2 2" xfId="12726"/>
    <cellStyle name="Normal 2 2 2 2 3 2 3 2 2 2 2" xfId="20541"/>
    <cellStyle name="Normal 2 2 2 2 3 2 3 2 2 3" xfId="16654"/>
    <cellStyle name="Normal 2 2 2 2 3 2 3 2 3" xfId="12725"/>
    <cellStyle name="Normal 2 2 2 2 3 2 3 2 3 2" xfId="20540"/>
    <cellStyle name="Normal 2 2 2 2 3 2 3 2 4" xfId="16653"/>
    <cellStyle name="Normal 2 2 2 2 3 2 3 3" xfId="3835"/>
    <cellStyle name="Normal 2 2 2 2 3 2 3 3 2" xfId="12727"/>
    <cellStyle name="Normal 2 2 2 2 3 2 3 3 2 2" xfId="20542"/>
    <cellStyle name="Normal 2 2 2 2 3 2 3 3 3" xfId="16655"/>
    <cellStyle name="Normal 2 2 2 2 3 2 3 4" xfId="12724"/>
    <cellStyle name="Normal 2 2 2 2 3 2 3 4 2" xfId="20539"/>
    <cellStyle name="Normal 2 2 2 2 3 2 3 5" xfId="16652"/>
    <cellStyle name="Normal 2 2 2 2 3 2 4" xfId="3836"/>
    <cellStyle name="Normal 2 2 2 2 3 2 4 2" xfId="3837"/>
    <cellStyle name="Normal 2 2 2 2 3 2 4 2 2" xfId="12729"/>
    <cellStyle name="Normal 2 2 2 2 3 2 4 2 2 2" xfId="20544"/>
    <cellStyle name="Normal 2 2 2 2 3 2 4 2 3" xfId="16657"/>
    <cellStyle name="Normal 2 2 2 2 3 2 4 3" xfId="12728"/>
    <cellStyle name="Normal 2 2 2 2 3 2 4 3 2" xfId="20543"/>
    <cellStyle name="Normal 2 2 2 2 3 2 4 4" xfId="16656"/>
    <cellStyle name="Normal 2 2 2 2 3 2 5" xfId="3838"/>
    <cellStyle name="Normal 2 2 2 2 3 2 5 2" xfId="12730"/>
    <cellStyle name="Normal 2 2 2 2 3 2 5 2 2" xfId="20545"/>
    <cellStyle name="Normal 2 2 2 2 3 2 5 3" xfId="16658"/>
    <cellStyle name="Normal 2 2 2 2 3 2 6" xfId="12717"/>
    <cellStyle name="Normal 2 2 2 2 3 2 6 2" xfId="20532"/>
    <cellStyle name="Normal 2 2 2 2 3 2 7" xfId="16645"/>
    <cellStyle name="Normal 2 2 2 2 3 3" xfId="3839"/>
    <cellStyle name="Normal 2 2 2 2 3 3 2" xfId="3840"/>
    <cellStyle name="Normal 2 2 2 2 3 3 2 2" xfId="3841"/>
    <cellStyle name="Normal 2 2 2 2 3 3 2 2 2" xfId="3842"/>
    <cellStyle name="Normal 2 2 2 2 3 3 2 2 2 2" xfId="12734"/>
    <cellStyle name="Normal 2 2 2 2 3 3 2 2 2 2 2" xfId="20549"/>
    <cellStyle name="Normal 2 2 2 2 3 3 2 2 2 3" xfId="16662"/>
    <cellStyle name="Normal 2 2 2 2 3 3 2 2 3" xfId="12733"/>
    <cellStyle name="Normal 2 2 2 2 3 3 2 2 3 2" xfId="20548"/>
    <cellStyle name="Normal 2 2 2 2 3 3 2 2 4" xfId="16661"/>
    <cellStyle name="Normal 2 2 2 2 3 3 2 3" xfId="3843"/>
    <cellStyle name="Normal 2 2 2 2 3 3 2 3 2" xfId="12735"/>
    <cellStyle name="Normal 2 2 2 2 3 3 2 3 2 2" xfId="20550"/>
    <cellStyle name="Normal 2 2 2 2 3 3 2 3 3" xfId="16663"/>
    <cellStyle name="Normal 2 2 2 2 3 3 2 4" xfId="12732"/>
    <cellStyle name="Normal 2 2 2 2 3 3 2 4 2" xfId="20547"/>
    <cellStyle name="Normal 2 2 2 2 3 3 2 5" xfId="16660"/>
    <cellStyle name="Normal 2 2 2 2 3 3 3" xfId="3844"/>
    <cellStyle name="Normal 2 2 2 2 3 3 3 2" xfId="3845"/>
    <cellStyle name="Normal 2 2 2 2 3 3 3 2 2" xfId="12737"/>
    <cellStyle name="Normal 2 2 2 2 3 3 3 2 2 2" xfId="20552"/>
    <cellStyle name="Normal 2 2 2 2 3 3 3 2 3" xfId="16665"/>
    <cellStyle name="Normal 2 2 2 2 3 3 3 3" xfId="12736"/>
    <cellStyle name="Normal 2 2 2 2 3 3 3 3 2" xfId="20551"/>
    <cellStyle name="Normal 2 2 2 2 3 3 3 4" xfId="16664"/>
    <cellStyle name="Normal 2 2 2 2 3 3 4" xfId="3846"/>
    <cellStyle name="Normal 2 2 2 2 3 3 4 2" xfId="3847"/>
    <cellStyle name="Normal 2 2 2 2 3 3 4 2 2" xfId="12739"/>
    <cellStyle name="Normal 2 2 2 2 3 3 4 2 2 2" xfId="20554"/>
    <cellStyle name="Normal 2 2 2 2 3 3 4 2 3" xfId="16667"/>
    <cellStyle name="Normal 2 2 2 2 3 3 4 3" xfId="12738"/>
    <cellStyle name="Normal 2 2 2 2 3 3 4 3 2" xfId="20553"/>
    <cellStyle name="Normal 2 2 2 2 3 3 4 4" xfId="16666"/>
    <cellStyle name="Normal 2 2 2 2 3 3 5" xfId="3848"/>
    <cellStyle name="Normal 2 2 2 2 3 3 5 2" xfId="12740"/>
    <cellStyle name="Normal 2 2 2 2 3 3 5 2 2" xfId="20555"/>
    <cellStyle name="Normal 2 2 2 2 3 3 5 3" xfId="16668"/>
    <cellStyle name="Normal 2 2 2 2 3 3 6" xfId="12731"/>
    <cellStyle name="Normal 2 2 2 2 3 3 6 2" xfId="20546"/>
    <cellStyle name="Normal 2 2 2 2 3 3 7" xfId="16659"/>
    <cellStyle name="Normal 2 2 2 2 3 4" xfId="3849"/>
    <cellStyle name="Normal 2 2 2 2 3 4 2" xfId="3850"/>
    <cellStyle name="Normal 2 2 2 2 3 4 2 2" xfId="3851"/>
    <cellStyle name="Normal 2 2 2 2 3 4 2 2 2" xfId="12743"/>
    <cellStyle name="Normal 2 2 2 2 3 4 2 2 2 2" xfId="20558"/>
    <cellStyle name="Normal 2 2 2 2 3 4 2 2 3" xfId="16671"/>
    <cellStyle name="Normal 2 2 2 2 3 4 2 3" xfId="12742"/>
    <cellStyle name="Normal 2 2 2 2 3 4 2 3 2" xfId="20557"/>
    <cellStyle name="Normal 2 2 2 2 3 4 2 4" xfId="16670"/>
    <cellStyle name="Normal 2 2 2 2 3 4 3" xfId="3852"/>
    <cellStyle name="Normal 2 2 2 2 3 4 3 2" xfId="12744"/>
    <cellStyle name="Normal 2 2 2 2 3 4 3 2 2" xfId="20559"/>
    <cellStyle name="Normal 2 2 2 2 3 4 3 3" xfId="16672"/>
    <cellStyle name="Normal 2 2 2 2 3 4 4" xfId="12741"/>
    <cellStyle name="Normal 2 2 2 2 3 4 4 2" xfId="20556"/>
    <cellStyle name="Normal 2 2 2 2 3 4 5" xfId="16669"/>
    <cellStyle name="Normal 2 2 2 2 3 5" xfId="3853"/>
    <cellStyle name="Normal 2 2 2 2 3 5 2" xfId="3854"/>
    <cellStyle name="Normal 2 2 2 2 3 5 2 2" xfId="12746"/>
    <cellStyle name="Normal 2 2 2 2 3 5 2 2 2" xfId="20561"/>
    <cellStyle name="Normal 2 2 2 2 3 5 2 3" xfId="16674"/>
    <cellStyle name="Normal 2 2 2 2 3 5 3" xfId="12745"/>
    <cellStyle name="Normal 2 2 2 2 3 5 3 2" xfId="20560"/>
    <cellStyle name="Normal 2 2 2 2 3 5 4" xfId="16673"/>
    <cellStyle name="Normal 2 2 2 2 3 6" xfId="3855"/>
    <cellStyle name="Normal 2 2 2 2 3 6 2" xfId="12747"/>
    <cellStyle name="Normal 2 2 2 2 3 6 2 2" xfId="20562"/>
    <cellStyle name="Normal 2 2 2 2 3 6 3" xfId="16675"/>
    <cellStyle name="Normal 2 2 2 2 3 7" xfId="12716"/>
    <cellStyle name="Normal 2 2 2 2 3 7 2" xfId="20531"/>
    <cellStyle name="Normal 2 2 2 2 3 8" xfId="16644"/>
    <cellStyle name="Normal 2 2 2 2 4" xfId="3856"/>
    <cellStyle name="Normal 2 2 2 2 4 2" xfId="3857"/>
    <cellStyle name="Normal 2 2 2 2 4 2 2" xfId="3858"/>
    <cellStyle name="Normal 2 2 2 2 4 2 2 2" xfId="3859"/>
    <cellStyle name="Normal 2 2 2 2 4 2 2 2 2" xfId="12751"/>
    <cellStyle name="Normal 2 2 2 2 4 2 2 2 2 2" xfId="20566"/>
    <cellStyle name="Normal 2 2 2 2 4 2 2 2 3" xfId="16679"/>
    <cellStyle name="Normal 2 2 2 2 4 2 2 3" xfId="12750"/>
    <cellStyle name="Normal 2 2 2 2 4 2 2 3 2" xfId="20565"/>
    <cellStyle name="Normal 2 2 2 2 4 2 2 4" xfId="16678"/>
    <cellStyle name="Normal 2 2 2 2 4 2 3" xfId="3860"/>
    <cellStyle name="Normal 2 2 2 2 4 2 3 2" xfId="3861"/>
    <cellStyle name="Normal 2 2 2 2 4 2 3 2 2" xfId="12753"/>
    <cellStyle name="Normal 2 2 2 2 4 2 3 2 2 2" xfId="20568"/>
    <cellStyle name="Normal 2 2 2 2 4 2 3 2 3" xfId="16681"/>
    <cellStyle name="Normal 2 2 2 2 4 2 3 3" xfId="12752"/>
    <cellStyle name="Normal 2 2 2 2 4 2 3 3 2" xfId="20567"/>
    <cellStyle name="Normal 2 2 2 2 4 2 3 4" xfId="16680"/>
    <cellStyle name="Normal 2 2 2 2 4 2 4" xfId="3862"/>
    <cellStyle name="Normal 2 2 2 2 4 2 4 2" xfId="12754"/>
    <cellStyle name="Normal 2 2 2 2 4 2 4 2 2" xfId="20569"/>
    <cellStyle name="Normal 2 2 2 2 4 2 4 3" xfId="16682"/>
    <cellStyle name="Normal 2 2 2 2 4 2 5" xfId="12749"/>
    <cellStyle name="Normal 2 2 2 2 4 2 5 2" xfId="20564"/>
    <cellStyle name="Normal 2 2 2 2 4 2 6" xfId="16677"/>
    <cellStyle name="Normal 2 2 2 2 4 3" xfId="3863"/>
    <cellStyle name="Normal 2 2 2 2 4 3 2" xfId="3864"/>
    <cellStyle name="Normal 2 2 2 2 4 3 2 2" xfId="3865"/>
    <cellStyle name="Normal 2 2 2 2 4 3 2 2 2" xfId="12757"/>
    <cellStyle name="Normal 2 2 2 2 4 3 2 2 2 2" xfId="20572"/>
    <cellStyle name="Normal 2 2 2 2 4 3 2 2 3" xfId="16685"/>
    <cellStyle name="Normal 2 2 2 2 4 3 2 3" xfId="12756"/>
    <cellStyle name="Normal 2 2 2 2 4 3 2 3 2" xfId="20571"/>
    <cellStyle name="Normal 2 2 2 2 4 3 2 4" xfId="16684"/>
    <cellStyle name="Normal 2 2 2 2 4 3 3" xfId="3866"/>
    <cellStyle name="Normal 2 2 2 2 4 3 3 2" xfId="12758"/>
    <cellStyle name="Normal 2 2 2 2 4 3 3 2 2" xfId="20573"/>
    <cellStyle name="Normal 2 2 2 2 4 3 3 3" xfId="16686"/>
    <cellStyle name="Normal 2 2 2 2 4 3 4" xfId="12755"/>
    <cellStyle name="Normal 2 2 2 2 4 3 4 2" xfId="20570"/>
    <cellStyle name="Normal 2 2 2 2 4 3 5" xfId="16683"/>
    <cellStyle name="Normal 2 2 2 2 4 4" xfId="3867"/>
    <cellStyle name="Normal 2 2 2 2 4 4 2" xfId="3868"/>
    <cellStyle name="Normal 2 2 2 2 4 4 2 2" xfId="12760"/>
    <cellStyle name="Normal 2 2 2 2 4 4 2 2 2" xfId="20575"/>
    <cellStyle name="Normal 2 2 2 2 4 4 2 3" xfId="16688"/>
    <cellStyle name="Normal 2 2 2 2 4 4 3" xfId="12759"/>
    <cellStyle name="Normal 2 2 2 2 4 4 3 2" xfId="20574"/>
    <cellStyle name="Normal 2 2 2 2 4 4 4" xfId="16687"/>
    <cellStyle name="Normal 2 2 2 2 4 5" xfId="3869"/>
    <cellStyle name="Normal 2 2 2 2 4 5 2" xfId="12761"/>
    <cellStyle name="Normal 2 2 2 2 4 5 2 2" xfId="20576"/>
    <cellStyle name="Normal 2 2 2 2 4 5 3" xfId="16689"/>
    <cellStyle name="Normal 2 2 2 2 4 6" xfId="12748"/>
    <cellStyle name="Normal 2 2 2 2 4 6 2" xfId="20563"/>
    <cellStyle name="Normal 2 2 2 2 4 7" xfId="16676"/>
    <cellStyle name="Normal 2 2 2 2 5" xfId="3870"/>
    <cellStyle name="Normal 2 2 2 2 5 2" xfId="3871"/>
    <cellStyle name="Normal 2 2 2 2 5 2 2" xfId="3872"/>
    <cellStyle name="Normal 2 2 2 2 5 2 2 2" xfId="3873"/>
    <cellStyle name="Normal 2 2 2 2 5 2 2 2 2" xfId="12765"/>
    <cellStyle name="Normal 2 2 2 2 5 2 2 2 2 2" xfId="20580"/>
    <cellStyle name="Normal 2 2 2 2 5 2 2 2 3" xfId="16693"/>
    <cellStyle name="Normal 2 2 2 2 5 2 2 3" xfId="12764"/>
    <cellStyle name="Normal 2 2 2 2 5 2 2 3 2" xfId="20579"/>
    <cellStyle name="Normal 2 2 2 2 5 2 2 4" xfId="16692"/>
    <cellStyle name="Normal 2 2 2 2 5 2 3" xfId="3874"/>
    <cellStyle name="Normal 2 2 2 2 5 2 3 2" xfId="12766"/>
    <cellStyle name="Normal 2 2 2 2 5 2 3 2 2" xfId="20581"/>
    <cellStyle name="Normal 2 2 2 2 5 2 3 3" xfId="16694"/>
    <cellStyle name="Normal 2 2 2 2 5 2 4" xfId="12763"/>
    <cellStyle name="Normal 2 2 2 2 5 2 4 2" xfId="20578"/>
    <cellStyle name="Normal 2 2 2 2 5 2 5" xfId="16691"/>
    <cellStyle name="Normal 2 2 2 2 5 3" xfId="3875"/>
    <cellStyle name="Normal 2 2 2 2 5 3 2" xfId="3876"/>
    <cellStyle name="Normal 2 2 2 2 5 3 2 2" xfId="12768"/>
    <cellStyle name="Normal 2 2 2 2 5 3 2 2 2" xfId="20583"/>
    <cellStyle name="Normal 2 2 2 2 5 3 2 3" xfId="16696"/>
    <cellStyle name="Normal 2 2 2 2 5 3 3" xfId="12767"/>
    <cellStyle name="Normal 2 2 2 2 5 3 3 2" xfId="20582"/>
    <cellStyle name="Normal 2 2 2 2 5 3 4" xfId="16695"/>
    <cellStyle name="Normal 2 2 2 2 5 4" xfId="3877"/>
    <cellStyle name="Normal 2 2 2 2 5 4 2" xfId="12769"/>
    <cellStyle name="Normal 2 2 2 2 5 4 2 2" xfId="20584"/>
    <cellStyle name="Normal 2 2 2 2 5 4 3" xfId="16697"/>
    <cellStyle name="Normal 2 2 2 2 5 5" xfId="12762"/>
    <cellStyle name="Normal 2 2 2 2 5 5 2" xfId="20577"/>
    <cellStyle name="Normal 2 2 2 2 5 6" xfId="16690"/>
    <cellStyle name="Normal 2 2 2 2 6" xfId="3878"/>
    <cellStyle name="Normal 2 2 2 2 6 2" xfId="3879"/>
    <cellStyle name="Normal 2 2 2 2 6 2 2" xfId="3880"/>
    <cellStyle name="Normal 2 2 2 2 6 2 2 2" xfId="3881"/>
    <cellStyle name="Normal 2 2 2 2 6 2 2 2 2" xfId="12773"/>
    <cellStyle name="Normal 2 2 2 2 6 2 2 2 2 2" xfId="20588"/>
    <cellStyle name="Normal 2 2 2 2 6 2 2 2 3" xfId="16701"/>
    <cellStyle name="Normal 2 2 2 2 6 2 2 3" xfId="12772"/>
    <cellStyle name="Normal 2 2 2 2 6 2 2 3 2" xfId="20587"/>
    <cellStyle name="Normal 2 2 2 2 6 2 2 4" xfId="16700"/>
    <cellStyle name="Normal 2 2 2 2 6 2 3" xfId="3882"/>
    <cellStyle name="Normal 2 2 2 2 6 2 3 2" xfId="12774"/>
    <cellStyle name="Normal 2 2 2 2 6 2 3 2 2" xfId="20589"/>
    <cellStyle name="Normal 2 2 2 2 6 2 3 3" xfId="16702"/>
    <cellStyle name="Normal 2 2 2 2 6 2 4" xfId="12771"/>
    <cellStyle name="Normal 2 2 2 2 6 2 4 2" xfId="20586"/>
    <cellStyle name="Normal 2 2 2 2 6 2 5" xfId="16699"/>
    <cellStyle name="Normal 2 2 2 2 6 3" xfId="3883"/>
    <cellStyle name="Normal 2 2 2 2 6 3 2" xfId="3884"/>
    <cellStyle name="Normal 2 2 2 2 6 3 2 2" xfId="12776"/>
    <cellStyle name="Normal 2 2 2 2 6 3 2 2 2" xfId="20591"/>
    <cellStyle name="Normal 2 2 2 2 6 3 2 3" xfId="16704"/>
    <cellStyle name="Normal 2 2 2 2 6 3 3" xfId="12775"/>
    <cellStyle name="Normal 2 2 2 2 6 3 3 2" xfId="20590"/>
    <cellStyle name="Normal 2 2 2 2 6 3 4" xfId="16703"/>
    <cellStyle name="Normal 2 2 2 2 6 4" xfId="3885"/>
    <cellStyle name="Normal 2 2 2 2 6 4 2" xfId="12777"/>
    <cellStyle name="Normal 2 2 2 2 6 4 2 2" xfId="20592"/>
    <cellStyle name="Normal 2 2 2 2 6 4 3" xfId="16705"/>
    <cellStyle name="Normal 2 2 2 2 6 5" xfId="12770"/>
    <cellStyle name="Normal 2 2 2 2 6 5 2" xfId="20585"/>
    <cellStyle name="Normal 2 2 2 2 6 6" xfId="16698"/>
    <cellStyle name="Normal 2 2 2 2 7" xfId="3886"/>
    <cellStyle name="Normal 2 2 2 2 7 2" xfId="3887"/>
    <cellStyle name="Normal 2 2 2 2 7 2 2" xfId="3888"/>
    <cellStyle name="Normal 2 2 2 2 7 2 2 2" xfId="12780"/>
    <cellStyle name="Normal 2 2 2 2 7 2 2 2 2" xfId="20595"/>
    <cellStyle name="Normal 2 2 2 2 7 2 2 3" xfId="16708"/>
    <cellStyle name="Normal 2 2 2 2 7 2 3" xfId="12779"/>
    <cellStyle name="Normal 2 2 2 2 7 2 3 2" xfId="20594"/>
    <cellStyle name="Normal 2 2 2 2 7 2 4" xfId="16707"/>
    <cellStyle name="Normal 2 2 2 2 7 3" xfId="3889"/>
    <cellStyle name="Normal 2 2 2 2 7 3 2" xfId="12781"/>
    <cellStyle name="Normal 2 2 2 2 7 3 2 2" xfId="20596"/>
    <cellStyle name="Normal 2 2 2 2 7 3 3" xfId="16709"/>
    <cellStyle name="Normal 2 2 2 2 7 4" xfId="12778"/>
    <cellStyle name="Normal 2 2 2 2 7 4 2" xfId="20593"/>
    <cellStyle name="Normal 2 2 2 2 7 5" xfId="16706"/>
    <cellStyle name="Normal 2 2 2 2 8" xfId="3890"/>
    <cellStyle name="Normal 2 2 2 2 8 2" xfId="3891"/>
    <cellStyle name="Normal 2 2 2 2 8 2 2" xfId="12783"/>
    <cellStyle name="Normal 2 2 2 2 8 2 2 2" xfId="20598"/>
    <cellStyle name="Normal 2 2 2 2 8 2 3" xfId="16711"/>
    <cellStyle name="Normal 2 2 2 2 8 3" xfId="12782"/>
    <cellStyle name="Normal 2 2 2 2 8 3 2" xfId="20597"/>
    <cellStyle name="Normal 2 2 2 2 8 4" xfId="16710"/>
    <cellStyle name="Normal 2 2 2 2 9" xfId="3892"/>
    <cellStyle name="Normal 2 2 2 2 9 2" xfId="3893"/>
    <cellStyle name="Normal 2 2 2 2 9 2 2" xfId="12785"/>
    <cellStyle name="Normal 2 2 2 2 9 2 2 2" xfId="20600"/>
    <cellStyle name="Normal 2 2 2 2 9 2 3" xfId="16713"/>
    <cellStyle name="Normal 2 2 2 2 9 3" xfId="12784"/>
    <cellStyle name="Normal 2 2 2 2 9 3 2" xfId="20599"/>
    <cellStyle name="Normal 2 2 2 2 9 4" xfId="16712"/>
    <cellStyle name="Normal 2 2 2 3" xfId="3894"/>
    <cellStyle name="Normal 2 2 2 3 10" xfId="16714"/>
    <cellStyle name="Normal 2 2 2 3 2" xfId="3895"/>
    <cellStyle name="Normal 2 2 2 3 2 2" xfId="3896"/>
    <cellStyle name="Normal 2 2 2 3 2 2 2" xfId="3897"/>
    <cellStyle name="Normal 2 2 2 3 2 2 2 2" xfId="3898"/>
    <cellStyle name="Normal 2 2 2 3 2 2 2 2 2" xfId="3899"/>
    <cellStyle name="Normal 2 2 2 3 2 2 2 2 2 2" xfId="12791"/>
    <cellStyle name="Normal 2 2 2 3 2 2 2 2 2 2 2" xfId="20606"/>
    <cellStyle name="Normal 2 2 2 3 2 2 2 2 2 3" xfId="16719"/>
    <cellStyle name="Normal 2 2 2 3 2 2 2 2 3" xfId="12790"/>
    <cellStyle name="Normal 2 2 2 3 2 2 2 2 3 2" xfId="20605"/>
    <cellStyle name="Normal 2 2 2 3 2 2 2 2 4" xfId="16718"/>
    <cellStyle name="Normal 2 2 2 3 2 2 2 3" xfId="3900"/>
    <cellStyle name="Normal 2 2 2 3 2 2 2 3 2" xfId="3901"/>
    <cellStyle name="Normal 2 2 2 3 2 2 2 3 2 2" xfId="12793"/>
    <cellStyle name="Normal 2 2 2 3 2 2 2 3 2 2 2" xfId="20608"/>
    <cellStyle name="Normal 2 2 2 3 2 2 2 3 2 3" xfId="16721"/>
    <cellStyle name="Normal 2 2 2 3 2 2 2 3 3" xfId="12792"/>
    <cellStyle name="Normal 2 2 2 3 2 2 2 3 3 2" xfId="20607"/>
    <cellStyle name="Normal 2 2 2 3 2 2 2 3 4" xfId="16720"/>
    <cellStyle name="Normal 2 2 2 3 2 2 2 4" xfId="3902"/>
    <cellStyle name="Normal 2 2 2 3 2 2 2 4 2" xfId="12794"/>
    <cellStyle name="Normal 2 2 2 3 2 2 2 4 2 2" xfId="20609"/>
    <cellStyle name="Normal 2 2 2 3 2 2 2 4 3" xfId="16722"/>
    <cellStyle name="Normal 2 2 2 3 2 2 2 5" xfId="12789"/>
    <cellStyle name="Normal 2 2 2 3 2 2 2 5 2" xfId="20604"/>
    <cellStyle name="Normal 2 2 2 3 2 2 2 6" xfId="16717"/>
    <cellStyle name="Normal 2 2 2 3 2 2 3" xfId="3903"/>
    <cellStyle name="Normal 2 2 2 3 2 2 3 2" xfId="3904"/>
    <cellStyle name="Normal 2 2 2 3 2 2 3 2 2" xfId="3905"/>
    <cellStyle name="Normal 2 2 2 3 2 2 3 2 2 2" xfId="12797"/>
    <cellStyle name="Normal 2 2 2 3 2 2 3 2 2 2 2" xfId="20612"/>
    <cellStyle name="Normal 2 2 2 3 2 2 3 2 2 3" xfId="16725"/>
    <cellStyle name="Normal 2 2 2 3 2 2 3 2 3" xfId="12796"/>
    <cellStyle name="Normal 2 2 2 3 2 2 3 2 3 2" xfId="20611"/>
    <cellStyle name="Normal 2 2 2 3 2 2 3 2 4" xfId="16724"/>
    <cellStyle name="Normal 2 2 2 3 2 2 3 3" xfId="3906"/>
    <cellStyle name="Normal 2 2 2 3 2 2 3 3 2" xfId="12798"/>
    <cellStyle name="Normal 2 2 2 3 2 2 3 3 2 2" xfId="20613"/>
    <cellStyle name="Normal 2 2 2 3 2 2 3 3 3" xfId="16726"/>
    <cellStyle name="Normal 2 2 2 3 2 2 3 4" xfId="12795"/>
    <cellStyle name="Normal 2 2 2 3 2 2 3 4 2" xfId="20610"/>
    <cellStyle name="Normal 2 2 2 3 2 2 3 5" xfId="16723"/>
    <cellStyle name="Normal 2 2 2 3 2 2 4" xfId="3907"/>
    <cellStyle name="Normal 2 2 2 3 2 2 4 2" xfId="3908"/>
    <cellStyle name="Normal 2 2 2 3 2 2 4 2 2" xfId="12800"/>
    <cellStyle name="Normal 2 2 2 3 2 2 4 2 2 2" xfId="20615"/>
    <cellStyle name="Normal 2 2 2 3 2 2 4 2 3" xfId="16728"/>
    <cellStyle name="Normal 2 2 2 3 2 2 4 3" xfId="12799"/>
    <cellStyle name="Normal 2 2 2 3 2 2 4 3 2" xfId="20614"/>
    <cellStyle name="Normal 2 2 2 3 2 2 4 4" xfId="16727"/>
    <cellStyle name="Normal 2 2 2 3 2 2 5" xfId="3909"/>
    <cellStyle name="Normal 2 2 2 3 2 2 5 2" xfId="12801"/>
    <cellStyle name="Normal 2 2 2 3 2 2 5 2 2" xfId="20616"/>
    <cellStyle name="Normal 2 2 2 3 2 2 5 3" xfId="16729"/>
    <cellStyle name="Normal 2 2 2 3 2 2 6" xfId="12788"/>
    <cellStyle name="Normal 2 2 2 3 2 2 6 2" xfId="20603"/>
    <cellStyle name="Normal 2 2 2 3 2 2 7" xfId="16716"/>
    <cellStyle name="Normal 2 2 2 3 2 3" xfId="3910"/>
    <cellStyle name="Normal 2 2 2 3 2 3 2" xfId="3911"/>
    <cellStyle name="Normal 2 2 2 3 2 3 2 2" xfId="3912"/>
    <cellStyle name="Normal 2 2 2 3 2 3 2 2 2" xfId="3913"/>
    <cellStyle name="Normal 2 2 2 3 2 3 2 2 2 2" xfId="12805"/>
    <cellStyle name="Normal 2 2 2 3 2 3 2 2 2 2 2" xfId="20620"/>
    <cellStyle name="Normal 2 2 2 3 2 3 2 2 2 3" xfId="16733"/>
    <cellStyle name="Normal 2 2 2 3 2 3 2 2 3" xfId="12804"/>
    <cellStyle name="Normal 2 2 2 3 2 3 2 2 3 2" xfId="20619"/>
    <cellStyle name="Normal 2 2 2 3 2 3 2 2 4" xfId="16732"/>
    <cellStyle name="Normal 2 2 2 3 2 3 2 3" xfId="3914"/>
    <cellStyle name="Normal 2 2 2 3 2 3 2 3 2" xfId="12806"/>
    <cellStyle name="Normal 2 2 2 3 2 3 2 3 2 2" xfId="20621"/>
    <cellStyle name="Normal 2 2 2 3 2 3 2 3 3" xfId="16734"/>
    <cellStyle name="Normal 2 2 2 3 2 3 2 4" xfId="12803"/>
    <cellStyle name="Normal 2 2 2 3 2 3 2 4 2" xfId="20618"/>
    <cellStyle name="Normal 2 2 2 3 2 3 2 5" xfId="16731"/>
    <cellStyle name="Normal 2 2 2 3 2 3 3" xfId="3915"/>
    <cellStyle name="Normal 2 2 2 3 2 3 3 2" xfId="3916"/>
    <cellStyle name="Normal 2 2 2 3 2 3 3 2 2" xfId="12808"/>
    <cellStyle name="Normal 2 2 2 3 2 3 3 2 2 2" xfId="20623"/>
    <cellStyle name="Normal 2 2 2 3 2 3 3 2 3" xfId="16736"/>
    <cellStyle name="Normal 2 2 2 3 2 3 3 3" xfId="12807"/>
    <cellStyle name="Normal 2 2 2 3 2 3 3 3 2" xfId="20622"/>
    <cellStyle name="Normal 2 2 2 3 2 3 3 4" xfId="16735"/>
    <cellStyle name="Normal 2 2 2 3 2 3 4" xfId="3917"/>
    <cellStyle name="Normal 2 2 2 3 2 3 4 2" xfId="3918"/>
    <cellStyle name="Normal 2 2 2 3 2 3 4 2 2" xfId="12810"/>
    <cellStyle name="Normal 2 2 2 3 2 3 4 2 2 2" xfId="20625"/>
    <cellStyle name="Normal 2 2 2 3 2 3 4 2 3" xfId="16738"/>
    <cellStyle name="Normal 2 2 2 3 2 3 4 3" xfId="12809"/>
    <cellStyle name="Normal 2 2 2 3 2 3 4 3 2" xfId="20624"/>
    <cellStyle name="Normal 2 2 2 3 2 3 4 4" xfId="16737"/>
    <cellStyle name="Normal 2 2 2 3 2 3 5" xfId="3919"/>
    <cellStyle name="Normal 2 2 2 3 2 3 5 2" xfId="12811"/>
    <cellStyle name="Normal 2 2 2 3 2 3 5 2 2" xfId="20626"/>
    <cellStyle name="Normal 2 2 2 3 2 3 5 3" xfId="16739"/>
    <cellStyle name="Normal 2 2 2 3 2 3 6" xfId="12802"/>
    <cellStyle name="Normal 2 2 2 3 2 3 6 2" xfId="20617"/>
    <cellStyle name="Normal 2 2 2 3 2 3 7" xfId="16730"/>
    <cellStyle name="Normal 2 2 2 3 2 4" xfId="3920"/>
    <cellStyle name="Normal 2 2 2 3 2 4 2" xfId="3921"/>
    <cellStyle name="Normal 2 2 2 3 2 4 2 2" xfId="3922"/>
    <cellStyle name="Normal 2 2 2 3 2 4 2 2 2" xfId="12814"/>
    <cellStyle name="Normal 2 2 2 3 2 4 2 2 2 2" xfId="20629"/>
    <cellStyle name="Normal 2 2 2 3 2 4 2 2 3" xfId="16742"/>
    <cellStyle name="Normal 2 2 2 3 2 4 2 3" xfId="12813"/>
    <cellStyle name="Normal 2 2 2 3 2 4 2 3 2" xfId="20628"/>
    <cellStyle name="Normal 2 2 2 3 2 4 2 4" xfId="16741"/>
    <cellStyle name="Normal 2 2 2 3 2 4 3" xfId="3923"/>
    <cellStyle name="Normal 2 2 2 3 2 4 3 2" xfId="12815"/>
    <cellStyle name="Normal 2 2 2 3 2 4 3 2 2" xfId="20630"/>
    <cellStyle name="Normal 2 2 2 3 2 4 3 3" xfId="16743"/>
    <cellStyle name="Normal 2 2 2 3 2 4 4" xfId="12812"/>
    <cellStyle name="Normal 2 2 2 3 2 4 4 2" xfId="20627"/>
    <cellStyle name="Normal 2 2 2 3 2 4 5" xfId="16740"/>
    <cellStyle name="Normal 2 2 2 3 2 5" xfId="3924"/>
    <cellStyle name="Normal 2 2 2 3 2 5 2" xfId="3925"/>
    <cellStyle name="Normal 2 2 2 3 2 5 2 2" xfId="12817"/>
    <cellStyle name="Normal 2 2 2 3 2 5 2 2 2" xfId="20632"/>
    <cellStyle name="Normal 2 2 2 3 2 5 2 3" xfId="16745"/>
    <cellStyle name="Normal 2 2 2 3 2 5 3" xfId="12816"/>
    <cellStyle name="Normal 2 2 2 3 2 5 3 2" xfId="20631"/>
    <cellStyle name="Normal 2 2 2 3 2 5 4" xfId="16744"/>
    <cellStyle name="Normal 2 2 2 3 2 6" xfId="3926"/>
    <cellStyle name="Normal 2 2 2 3 2 6 2" xfId="12818"/>
    <cellStyle name="Normal 2 2 2 3 2 6 2 2" xfId="20633"/>
    <cellStyle name="Normal 2 2 2 3 2 6 3" xfId="16746"/>
    <cellStyle name="Normal 2 2 2 3 2 7" xfId="12787"/>
    <cellStyle name="Normal 2 2 2 3 2 7 2" xfId="20602"/>
    <cellStyle name="Normal 2 2 2 3 2 8" xfId="16715"/>
    <cellStyle name="Normal 2 2 2 3 3" xfId="3927"/>
    <cellStyle name="Normal 2 2 2 3 3 2" xfId="3928"/>
    <cellStyle name="Normal 2 2 2 3 3 2 2" xfId="3929"/>
    <cellStyle name="Normal 2 2 2 3 3 2 2 2" xfId="3930"/>
    <cellStyle name="Normal 2 2 2 3 3 2 2 2 2" xfId="12822"/>
    <cellStyle name="Normal 2 2 2 3 3 2 2 2 2 2" xfId="20637"/>
    <cellStyle name="Normal 2 2 2 3 3 2 2 2 3" xfId="16750"/>
    <cellStyle name="Normal 2 2 2 3 3 2 2 3" xfId="12821"/>
    <cellStyle name="Normal 2 2 2 3 3 2 2 3 2" xfId="20636"/>
    <cellStyle name="Normal 2 2 2 3 3 2 2 4" xfId="16749"/>
    <cellStyle name="Normal 2 2 2 3 3 2 3" xfId="3931"/>
    <cellStyle name="Normal 2 2 2 3 3 2 3 2" xfId="3932"/>
    <cellStyle name="Normal 2 2 2 3 3 2 3 2 2" xfId="12824"/>
    <cellStyle name="Normal 2 2 2 3 3 2 3 2 2 2" xfId="20639"/>
    <cellStyle name="Normal 2 2 2 3 3 2 3 2 3" xfId="16752"/>
    <cellStyle name="Normal 2 2 2 3 3 2 3 3" xfId="12823"/>
    <cellStyle name="Normal 2 2 2 3 3 2 3 3 2" xfId="20638"/>
    <cellStyle name="Normal 2 2 2 3 3 2 3 4" xfId="16751"/>
    <cellStyle name="Normal 2 2 2 3 3 2 4" xfId="3933"/>
    <cellStyle name="Normal 2 2 2 3 3 2 4 2" xfId="12825"/>
    <cellStyle name="Normal 2 2 2 3 3 2 4 2 2" xfId="20640"/>
    <cellStyle name="Normal 2 2 2 3 3 2 4 3" xfId="16753"/>
    <cellStyle name="Normal 2 2 2 3 3 2 5" xfId="12820"/>
    <cellStyle name="Normal 2 2 2 3 3 2 5 2" xfId="20635"/>
    <cellStyle name="Normal 2 2 2 3 3 2 6" xfId="16748"/>
    <cellStyle name="Normal 2 2 2 3 3 3" xfId="3934"/>
    <cellStyle name="Normal 2 2 2 3 3 3 2" xfId="3935"/>
    <cellStyle name="Normal 2 2 2 3 3 3 2 2" xfId="3936"/>
    <cellStyle name="Normal 2 2 2 3 3 3 2 2 2" xfId="12828"/>
    <cellStyle name="Normal 2 2 2 3 3 3 2 2 2 2" xfId="20643"/>
    <cellStyle name="Normal 2 2 2 3 3 3 2 2 3" xfId="16756"/>
    <cellStyle name="Normal 2 2 2 3 3 3 2 3" xfId="12827"/>
    <cellStyle name="Normal 2 2 2 3 3 3 2 3 2" xfId="20642"/>
    <cellStyle name="Normal 2 2 2 3 3 3 2 4" xfId="16755"/>
    <cellStyle name="Normal 2 2 2 3 3 3 3" xfId="3937"/>
    <cellStyle name="Normal 2 2 2 3 3 3 3 2" xfId="12829"/>
    <cellStyle name="Normal 2 2 2 3 3 3 3 2 2" xfId="20644"/>
    <cellStyle name="Normal 2 2 2 3 3 3 3 3" xfId="16757"/>
    <cellStyle name="Normal 2 2 2 3 3 3 4" xfId="12826"/>
    <cellStyle name="Normal 2 2 2 3 3 3 4 2" xfId="20641"/>
    <cellStyle name="Normal 2 2 2 3 3 3 5" xfId="16754"/>
    <cellStyle name="Normal 2 2 2 3 3 4" xfId="3938"/>
    <cellStyle name="Normal 2 2 2 3 3 4 2" xfId="3939"/>
    <cellStyle name="Normal 2 2 2 3 3 4 2 2" xfId="12831"/>
    <cellStyle name="Normal 2 2 2 3 3 4 2 2 2" xfId="20646"/>
    <cellStyle name="Normal 2 2 2 3 3 4 2 3" xfId="16759"/>
    <cellStyle name="Normal 2 2 2 3 3 4 3" xfId="12830"/>
    <cellStyle name="Normal 2 2 2 3 3 4 3 2" xfId="20645"/>
    <cellStyle name="Normal 2 2 2 3 3 4 4" xfId="16758"/>
    <cellStyle name="Normal 2 2 2 3 3 5" xfId="3940"/>
    <cellStyle name="Normal 2 2 2 3 3 5 2" xfId="12832"/>
    <cellStyle name="Normal 2 2 2 3 3 5 2 2" xfId="20647"/>
    <cellStyle name="Normal 2 2 2 3 3 5 3" xfId="16760"/>
    <cellStyle name="Normal 2 2 2 3 3 6" xfId="12819"/>
    <cellStyle name="Normal 2 2 2 3 3 6 2" xfId="20634"/>
    <cellStyle name="Normal 2 2 2 3 3 7" xfId="16747"/>
    <cellStyle name="Normal 2 2 2 3 4" xfId="3941"/>
    <cellStyle name="Normal 2 2 2 3 4 2" xfId="3942"/>
    <cellStyle name="Normal 2 2 2 3 4 2 2" xfId="3943"/>
    <cellStyle name="Normal 2 2 2 3 4 2 2 2" xfId="3944"/>
    <cellStyle name="Normal 2 2 2 3 4 2 2 2 2" xfId="12836"/>
    <cellStyle name="Normal 2 2 2 3 4 2 2 2 2 2" xfId="20651"/>
    <cellStyle name="Normal 2 2 2 3 4 2 2 2 3" xfId="16764"/>
    <cellStyle name="Normal 2 2 2 3 4 2 2 3" xfId="12835"/>
    <cellStyle name="Normal 2 2 2 3 4 2 2 3 2" xfId="20650"/>
    <cellStyle name="Normal 2 2 2 3 4 2 2 4" xfId="16763"/>
    <cellStyle name="Normal 2 2 2 3 4 2 3" xfId="3945"/>
    <cellStyle name="Normal 2 2 2 3 4 2 3 2" xfId="12837"/>
    <cellStyle name="Normal 2 2 2 3 4 2 3 2 2" xfId="20652"/>
    <cellStyle name="Normal 2 2 2 3 4 2 3 3" xfId="16765"/>
    <cellStyle name="Normal 2 2 2 3 4 2 4" xfId="12834"/>
    <cellStyle name="Normal 2 2 2 3 4 2 4 2" xfId="20649"/>
    <cellStyle name="Normal 2 2 2 3 4 2 5" xfId="16762"/>
    <cellStyle name="Normal 2 2 2 3 4 3" xfId="3946"/>
    <cellStyle name="Normal 2 2 2 3 4 3 2" xfId="3947"/>
    <cellStyle name="Normal 2 2 2 3 4 3 2 2" xfId="12839"/>
    <cellStyle name="Normal 2 2 2 3 4 3 2 2 2" xfId="20654"/>
    <cellStyle name="Normal 2 2 2 3 4 3 2 3" xfId="16767"/>
    <cellStyle name="Normal 2 2 2 3 4 3 3" xfId="12838"/>
    <cellStyle name="Normal 2 2 2 3 4 3 3 2" xfId="20653"/>
    <cellStyle name="Normal 2 2 2 3 4 3 4" xfId="16766"/>
    <cellStyle name="Normal 2 2 2 3 4 4" xfId="3948"/>
    <cellStyle name="Normal 2 2 2 3 4 4 2" xfId="12840"/>
    <cellStyle name="Normal 2 2 2 3 4 4 2 2" xfId="20655"/>
    <cellStyle name="Normal 2 2 2 3 4 4 3" xfId="16768"/>
    <cellStyle name="Normal 2 2 2 3 4 5" xfId="12833"/>
    <cellStyle name="Normal 2 2 2 3 4 5 2" xfId="20648"/>
    <cellStyle name="Normal 2 2 2 3 4 6" xfId="16761"/>
    <cellStyle name="Normal 2 2 2 3 5" xfId="3949"/>
    <cellStyle name="Normal 2 2 2 3 5 2" xfId="3950"/>
    <cellStyle name="Normal 2 2 2 3 5 2 2" xfId="3951"/>
    <cellStyle name="Normal 2 2 2 3 5 2 2 2" xfId="3952"/>
    <cellStyle name="Normal 2 2 2 3 5 2 2 2 2" xfId="12844"/>
    <cellStyle name="Normal 2 2 2 3 5 2 2 2 2 2" xfId="20659"/>
    <cellStyle name="Normal 2 2 2 3 5 2 2 2 3" xfId="16772"/>
    <cellStyle name="Normal 2 2 2 3 5 2 2 3" xfId="12843"/>
    <cellStyle name="Normal 2 2 2 3 5 2 2 3 2" xfId="20658"/>
    <cellStyle name="Normal 2 2 2 3 5 2 2 4" xfId="16771"/>
    <cellStyle name="Normal 2 2 2 3 5 2 3" xfId="3953"/>
    <cellStyle name="Normal 2 2 2 3 5 2 3 2" xfId="12845"/>
    <cellStyle name="Normal 2 2 2 3 5 2 3 2 2" xfId="20660"/>
    <cellStyle name="Normal 2 2 2 3 5 2 3 3" xfId="16773"/>
    <cellStyle name="Normal 2 2 2 3 5 2 4" xfId="12842"/>
    <cellStyle name="Normal 2 2 2 3 5 2 4 2" xfId="20657"/>
    <cellStyle name="Normal 2 2 2 3 5 2 5" xfId="16770"/>
    <cellStyle name="Normal 2 2 2 3 5 3" xfId="3954"/>
    <cellStyle name="Normal 2 2 2 3 5 3 2" xfId="3955"/>
    <cellStyle name="Normal 2 2 2 3 5 3 2 2" xfId="12847"/>
    <cellStyle name="Normal 2 2 2 3 5 3 2 2 2" xfId="20662"/>
    <cellStyle name="Normal 2 2 2 3 5 3 2 3" xfId="16775"/>
    <cellStyle name="Normal 2 2 2 3 5 3 3" xfId="12846"/>
    <cellStyle name="Normal 2 2 2 3 5 3 3 2" xfId="20661"/>
    <cellStyle name="Normal 2 2 2 3 5 3 4" xfId="16774"/>
    <cellStyle name="Normal 2 2 2 3 5 4" xfId="3956"/>
    <cellStyle name="Normal 2 2 2 3 5 4 2" xfId="3957"/>
    <cellStyle name="Normal 2 2 2 3 5 4 2 2" xfId="12849"/>
    <cellStyle name="Normal 2 2 2 3 5 4 2 2 2" xfId="20664"/>
    <cellStyle name="Normal 2 2 2 3 5 4 2 3" xfId="16777"/>
    <cellStyle name="Normal 2 2 2 3 5 4 3" xfId="12848"/>
    <cellStyle name="Normal 2 2 2 3 5 4 3 2" xfId="20663"/>
    <cellStyle name="Normal 2 2 2 3 5 4 4" xfId="16776"/>
    <cellStyle name="Normal 2 2 2 3 5 5" xfId="3958"/>
    <cellStyle name="Normal 2 2 2 3 5 5 2" xfId="12850"/>
    <cellStyle name="Normal 2 2 2 3 5 5 2 2" xfId="20665"/>
    <cellStyle name="Normal 2 2 2 3 5 5 3" xfId="16778"/>
    <cellStyle name="Normal 2 2 2 3 5 6" xfId="12841"/>
    <cellStyle name="Normal 2 2 2 3 5 6 2" xfId="20656"/>
    <cellStyle name="Normal 2 2 2 3 5 7" xfId="16769"/>
    <cellStyle name="Normal 2 2 2 3 6" xfId="3959"/>
    <cellStyle name="Normal 2 2 2 3 6 2" xfId="3960"/>
    <cellStyle name="Normal 2 2 2 3 6 2 2" xfId="3961"/>
    <cellStyle name="Normal 2 2 2 3 6 2 2 2" xfId="12853"/>
    <cellStyle name="Normal 2 2 2 3 6 2 2 2 2" xfId="20668"/>
    <cellStyle name="Normal 2 2 2 3 6 2 2 3" xfId="16781"/>
    <cellStyle name="Normal 2 2 2 3 6 2 3" xfId="12852"/>
    <cellStyle name="Normal 2 2 2 3 6 2 3 2" xfId="20667"/>
    <cellStyle name="Normal 2 2 2 3 6 2 4" xfId="16780"/>
    <cellStyle name="Normal 2 2 2 3 6 3" xfId="3962"/>
    <cellStyle name="Normal 2 2 2 3 6 3 2" xfId="12854"/>
    <cellStyle name="Normal 2 2 2 3 6 3 2 2" xfId="20669"/>
    <cellStyle name="Normal 2 2 2 3 6 3 3" xfId="16782"/>
    <cellStyle name="Normal 2 2 2 3 6 4" xfId="12851"/>
    <cellStyle name="Normal 2 2 2 3 6 4 2" xfId="20666"/>
    <cellStyle name="Normal 2 2 2 3 6 5" xfId="16779"/>
    <cellStyle name="Normal 2 2 2 3 7" xfId="3963"/>
    <cellStyle name="Normal 2 2 2 3 7 2" xfId="3964"/>
    <cellStyle name="Normal 2 2 2 3 7 2 2" xfId="12856"/>
    <cellStyle name="Normal 2 2 2 3 7 2 2 2" xfId="20671"/>
    <cellStyle name="Normal 2 2 2 3 7 2 3" xfId="16784"/>
    <cellStyle name="Normal 2 2 2 3 7 3" xfId="12855"/>
    <cellStyle name="Normal 2 2 2 3 7 3 2" xfId="20670"/>
    <cellStyle name="Normal 2 2 2 3 7 4" xfId="16783"/>
    <cellStyle name="Normal 2 2 2 3 8" xfId="3965"/>
    <cellStyle name="Normal 2 2 2 3 8 2" xfId="12857"/>
    <cellStyle name="Normal 2 2 2 3 8 2 2" xfId="20672"/>
    <cellStyle name="Normal 2 2 2 3 8 3" xfId="16785"/>
    <cellStyle name="Normal 2 2 2 3 9" xfId="12786"/>
    <cellStyle name="Normal 2 2 2 3 9 2" xfId="20601"/>
    <cellStyle name="Normal 2 2 2 4" xfId="3966"/>
    <cellStyle name="Normal 2 2 2 4 2" xfId="3967"/>
    <cellStyle name="Normal 2 2 2 4 2 2" xfId="3968"/>
    <cellStyle name="Normal 2 2 2 4 2 2 2" xfId="3969"/>
    <cellStyle name="Normal 2 2 2 4 2 2 2 2" xfId="3970"/>
    <cellStyle name="Normal 2 2 2 4 2 2 2 2 2" xfId="12862"/>
    <cellStyle name="Normal 2 2 2 4 2 2 2 2 2 2" xfId="20677"/>
    <cellStyle name="Normal 2 2 2 4 2 2 2 2 3" xfId="16790"/>
    <cellStyle name="Normal 2 2 2 4 2 2 2 3" xfId="12861"/>
    <cellStyle name="Normal 2 2 2 4 2 2 2 3 2" xfId="20676"/>
    <cellStyle name="Normal 2 2 2 4 2 2 2 4" xfId="16789"/>
    <cellStyle name="Normal 2 2 2 4 2 2 3" xfId="3971"/>
    <cellStyle name="Normal 2 2 2 4 2 2 3 2" xfId="3972"/>
    <cellStyle name="Normal 2 2 2 4 2 2 3 2 2" xfId="12864"/>
    <cellStyle name="Normal 2 2 2 4 2 2 3 2 2 2" xfId="20679"/>
    <cellStyle name="Normal 2 2 2 4 2 2 3 2 3" xfId="16792"/>
    <cellStyle name="Normal 2 2 2 4 2 2 3 3" xfId="12863"/>
    <cellStyle name="Normal 2 2 2 4 2 2 3 3 2" xfId="20678"/>
    <cellStyle name="Normal 2 2 2 4 2 2 3 4" xfId="16791"/>
    <cellStyle name="Normal 2 2 2 4 2 2 4" xfId="3973"/>
    <cellStyle name="Normal 2 2 2 4 2 2 4 2" xfId="12865"/>
    <cellStyle name="Normal 2 2 2 4 2 2 4 2 2" xfId="20680"/>
    <cellStyle name="Normal 2 2 2 4 2 2 4 3" xfId="16793"/>
    <cellStyle name="Normal 2 2 2 4 2 2 5" xfId="12860"/>
    <cellStyle name="Normal 2 2 2 4 2 2 5 2" xfId="20675"/>
    <cellStyle name="Normal 2 2 2 4 2 2 6" xfId="16788"/>
    <cellStyle name="Normal 2 2 2 4 2 3" xfId="3974"/>
    <cellStyle name="Normal 2 2 2 4 2 3 2" xfId="3975"/>
    <cellStyle name="Normal 2 2 2 4 2 3 2 2" xfId="3976"/>
    <cellStyle name="Normal 2 2 2 4 2 3 2 2 2" xfId="12868"/>
    <cellStyle name="Normal 2 2 2 4 2 3 2 2 2 2" xfId="20683"/>
    <cellStyle name="Normal 2 2 2 4 2 3 2 2 3" xfId="16796"/>
    <cellStyle name="Normal 2 2 2 4 2 3 2 3" xfId="12867"/>
    <cellStyle name="Normal 2 2 2 4 2 3 2 3 2" xfId="20682"/>
    <cellStyle name="Normal 2 2 2 4 2 3 2 4" xfId="16795"/>
    <cellStyle name="Normal 2 2 2 4 2 3 3" xfId="3977"/>
    <cellStyle name="Normal 2 2 2 4 2 3 3 2" xfId="12869"/>
    <cellStyle name="Normal 2 2 2 4 2 3 3 2 2" xfId="20684"/>
    <cellStyle name="Normal 2 2 2 4 2 3 3 3" xfId="16797"/>
    <cellStyle name="Normal 2 2 2 4 2 3 4" xfId="12866"/>
    <cellStyle name="Normal 2 2 2 4 2 3 4 2" xfId="20681"/>
    <cellStyle name="Normal 2 2 2 4 2 3 5" xfId="16794"/>
    <cellStyle name="Normal 2 2 2 4 2 4" xfId="3978"/>
    <cellStyle name="Normal 2 2 2 4 2 4 2" xfId="3979"/>
    <cellStyle name="Normal 2 2 2 4 2 4 2 2" xfId="12871"/>
    <cellStyle name="Normal 2 2 2 4 2 4 2 2 2" xfId="20686"/>
    <cellStyle name="Normal 2 2 2 4 2 4 2 3" xfId="16799"/>
    <cellStyle name="Normal 2 2 2 4 2 4 3" xfId="12870"/>
    <cellStyle name="Normal 2 2 2 4 2 4 3 2" xfId="20685"/>
    <cellStyle name="Normal 2 2 2 4 2 4 4" xfId="16798"/>
    <cellStyle name="Normal 2 2 2 4 2 5" xfId="3980"/>
    <cellStyle name="Normal 2 2 2 4 2 5 2" xfId="12872"/>
    <cellStyle name="Normal 2 2 2 4 2 5 2 2" xfId="20687"/>
    <cellStyle name="Normal 2 2 2 4 2 5 3" xfId="16800"/>
    <cellStyle name="Normal 2 2 2 4 2 6" xfId="12859"/>
    <cellStyle name="Normal 2 2 2 4 2 6 2" xfId="20674"/>
    <cellStyle name="Normal 2 2 2 4 2 7" xfId="16787"/>
    <cellStyle name="Normal 2 2 2 4 3" xfId="3981"/>
    <cellStyle name="Normal 2 2 2 4 3 2" xfId="3982"/>
    <cellStyle name="Normal 2 2 2 4 3 2 2" xfId="3983"/>
    <cellStyle name="Normal 2 2 2 4 3 2 2 2" xfId="3984"/>
    <cellStyle name="Normal 2 2 2 4 3 2 2 2 2" xfId="12876"/>
    <cellStyle name="Normal 2 2 2 4 3 2 2 2 2 2" xfId="20691"/>
    <cellStyle name="Normal 2 2 2 4 3 2 2 2 3" xfId="16804"/>
    <cellStyle name="Normal 2 2 2 4 3 2 2 3" xfId="12875"/>
    <cellStyle name="Normal 2 2 2 4 3 2 2 3 2" xfId="20690"/>
    <cellStyle name="Normal 2 2 2 4 3 2 2 4" xfId="16803"/>
    <cellStyle name="Normal 2 2 2 4 3 2 3" xfId="3985"/>
    <cellStyle name="Normal 2 2 2 4 3 2 3 2" xfId="12877"/>
    <cellStyle name="Normal 2 2 2 4 3 2 3 2 2" xfId="20692"/>
    <cellStyle name="Normal 2 2 2 4 3 2 3 3" xfId="16805"/>
    <cellStyle name="Normal 2 2 2 4 3 2 4" xfId="12874"/>
    <cellStyle name="Normal 2 2 2 4 3 2 4 2" xfId="20689"/>
    <cellStyle name="Normal 2 2 2 4 3 2 5" xfId="16802"/>
    <cellStyle name="Normal 2 2 2 4 3 3" xfId="3986"/>
    <cellStyle name="Normal 2 2 2 4 3 3 2" xfId="3987"/>
    <cellStyle name="Normal 2 2 2 4 3 3 2 2" xfId="12879"/>
    <cellStyle name="Normal 2 2 2 4 3 3 2 2 2" xfId="20694"/>
    <cellStyle name="Normal 2 2 2 4 3 3 2 3" xfId="16807"/>
    <cellStyle name="Normal 2 2 2 4 3 3 3" xfId="12878"/>
    <cellStyle name="Normal 2 2 2 4 3 3 3 2" xfId="20693"/>
    <cellStyle name="Normal 2 2 2 4 3 3 4" xfId="16806"/>
    <cellStyle name="Normal 2 2 2 4 3 4" xfId="3988"/>
    <cellStyle name="Normal 2 2 2 4 3 4 2" xfId="3989"/>
    <cellStyle name="Normal 2 2 2 4 3 4 2 2" xfId="12881"/>
    <cellStyle name="Normal 2 2 2 4 3 4 2 2 2" xfId="20696"/>
    <cellStyle name="Normal 2 2 2 4 3 4 2 3" xfId="16809"/>
    <cellStyle name="Normal 2 2 2 4 3 4 3" xfId="12880"/>
    <cellStyle name="Normal 2 2 2 4 3 4 3 2" xfId="20695"/>
    <cellStyle name="Normal 2 2 2 4 3 4 4" xfId="16808"/>
    <cellStyle name="Normal 2 2 2 4 3 5" xfId="3990"/>
    <cellStyle name="Normal 2 2 2 4 3 5 2" xfId="12882"/>
    <cellStyle name="Normal 2 2 2 4 3 5 2 2" xfId="20697"/>
    <cellStyle name="Normal 2 2 2 4 3 5 3" xfId="16810"/>
    <cellStyle name="Normal 2 2 2 4 3 6" xfId="12873"/>
    <cellStyle name="Normal 2 2 2 4 3 6 2" xfId="20688"/>
    <cellStyle name="Normal 2 2 2 4 3 7" xfId="16801"/>
    <cellStyle name="Normal 2 2 2 4 4" xfId="3991"/>
    <cellStyle name="Normal 2 2 2 4 4 2" xfId="3992"/>
    <cellStyle name="Normal 2 2 2 4 4 2 2" xfId="3993"/>
    <cellStyle name="Normal 2 2 2 4 4 2 2 2" xfId="12885"/>
    <cellStyle name="Normal 2 2 2 4 4 2 2 2 2" xfId="20700"/>
    <cellStyle name="Normal 2 2 2 4 4 2 2 3" xfId="16813"/>
    <cellStyle name="Normal 2 2 2 4 4 2 3" xfId="12884"/>
    <cellStyle name="Normal 2 2 2 4 4 2 3 2" xfId="20699"/>
    <cellStyle name="Normal 2 2 2 4 4 2 4" xfId="16812"/>
    <cellStyle name="Normal 2 2 2 4 4 3" xfId="3994"/>
    <cellStyle name="Normal 2 2 2 4 4 3 2" xfId="12886"/>
    <cellStyle name="Normal 2 2 2 4 4 3 2 2" xfId="20701"/>
    <cellStyle name="Normal 2 2 2 4 4 3 3" xfId="16814"/>
    <cellStyle name="Normal 2 2 2 4 4 4" xfId="12883"/>
    <cellStyle name="Normal 2 2 2 4 4 4 2" xfId="20698"/>
    <cellStyle name="Normal 2 2 2 4 4 5" xfId="16811"/>
    <cellStyle name="Normal 2 2 2 4 5" xfId="3995"/>
    <cellStyle name="Normal 2 2 2 4 5 2" xfId="3996"/>
    <cellStyle name="Normal 2 2 2 4 5 2 2" xfId="12888"/>
    <cellStyle name="Normal 2 2 2 4 5 2 2 2" xfId="20703"/>
    <cellStyle name="Normal 2 2 2 4 5 2 3" xfId="16816"/>
    <cellStyle name="Normal 2 2 2 4 5 3" xfId="12887"/>
    <cellStyle name="Normal 2 2 2 4 5 3 2" xfId="20702"/>
    <cellStyle name="Normal 2 2 2 4 5 4" xfId="16815"/>
    <cellStyle name="Normal 2 2 2 4 6" xfId="3997"/>
    <cellStyle name="Normal 2 2 2 4 6 2" xfId="12889"/>
    <cellStyle name="Normal 2 2 2 4 6 2 2" xfId="20704"/>
    <cellStyle name="Normal 2 2 2 4 6 3" xfId="16817"/>
    <cellStyle name="Normal 2 2 2 4 7" xfId="12858"/>
    <cellStyle name="Normal 2 2 2 4 7 2" xfId="20673"/>
    <cellStyle name="Normal 2 2 2 4 8" xfId="16786"/>
    <cellStyle name="Normal 2 2 2 5" xfId="3998"/>
    <cellStyle name="Normal 2 2 2 5 2" xfId="3999"/>
    <cellStyle name="Normal 2 2 2 5 2 2" xfId="4000"/>
    <cellStyle name="Normal 2 2 2 5 2 2 2" xfId="4001"/>
    <cellStyle name="Normal 2 2 2 5 2 2 2 2" xfId="12893"/>
    <cellStyle name="Normal 2 2 2 5 2 2 2 2 2" xfId="20708"/>
    <cellStyle name="Normal 2 2 2 5 2 2 2 3" xfId="16821"/>
    <cellStyle name="Normal 2 2 2 5 2 2 3" xfId="12892"/>
    <cellStyle name="Normal 2 2 2 5 2 2 3 2" xfId="20707"/>
    <cellStyle name="Normal 2 2 2 5 2 2 4" xfId="16820"/>
    <cellStyle name="Normal 2 2 2 5 2 3" xfId="4002"/>
    <cellStyle name="Normal 2 2 2 5 2 3 2" xfId="4003"/>
    <cellStyle name="Normal 2 2 2 5 2 3 2 2" xfId="12895"/>
    <cellStyle name="Normal 2 2 2 5 2 3 2 2 2" xfId="20710"/>
    <cellStyle name="Normal 2 2 2 5 2 3 2 3" xfId="16823"/>
    <cellStyle name="Normal 2 2 2 5 2 3 3" xfId="12894"/>
    <cellStyle name="Normal 2 2 2 5 2 3 3 2" xfId="20709"/>
    <cellStyle name="Normal 2 2 2 5 2 3 4" xfId="16822"/>
    <cellStyle name="Normal 2 2 2 5 2 4" xfId="4004"/>
    <cellStyle name="Normal 2 2 2 5 2 4 2" xfId="12896"/>
    <cellStyle name="Normal 2 2 2 5 2 4 2 2" xfId="20711"/>
    <cellStyle name="Normal 2 2 2 5 2 4 3" xfId="16824"/>
    <cellStyle name="Normal 2 2 2 5 2 5" xfId="12891"/>
    <cellStyle name="Normal 2 2 2 5 2 5 2" xfId="20706"/>
    <cellStyle name="Normal 2 2 2 5 2 6" xfId="16819"/>
    <cellStyle name="Normal 2 2 2 5 3" xfId="4005"/>
    <cellStyle name="Normal 2 2 2 5 3 2" xfId="4006"/>
    <cellStyle name="Normal 2 2 2 5 3 2 2" xfId="4007"/>
    <cellStyle name="Normal 2 2 2 5 3 2 2 2" xfId="12899"/>
    <cellStyle name="Normal 2 2 2 5 3 2 2 2 2" xfId="20714"/>
    <cellStyle name="Normal 2 2 2 5 3 2 2 3" xfId="16827"/>
    <cellStyle name="Normal 2 2 2 5 3 2 3" xfId="12898"/>
    <cellStyle name="Normal 2 2 2 5 3 2 3 2" xfId="20713"/>
    <cellStyle name="Normal 2 2 2 5 3 2 4" xfId="16826"/>
    <cellStyle name="Normal 2 2 2 5 3 3" xfId="4008"/>
    <cellStyle name="Normal 2 2 2 5 3 3 2" xfId="12900"/>
    <cellStyle name="Normal 2 2 2 5 3 3 2 2" xfId="20715"/>
    <cellStyle name="Normal 2 2 2 5 3 3 3" xfId="16828"/>
    <cellStyle name="Normal 2 2 2 5 3 4" xfId="12897"/>
    <cellStyle name="Normal 2 2 2 5 3 4 2" xfId="20712"/>
    <cellStyle name="Normal 2 2 2 5 3 5" xfId="16825"/>
    <cellStyle name="Normal 2 2 2 5 4" xfId="4009"/>
    <cellStyle name="Normal 2 2 2 5 4 2" xfId="4010"/>
    <cellStyle name="Normal 2 2 2 5 4 2 2" xfId="12902"/>
    <cellStyle name="Normal 2 2 2 5 4 2 2 2" xfId="20717"/>
    <cellStyle name="Normal 2 2 2 5 4 2 3" xfId="16830"/>
    <cellStyle name="Normal 2 2 2 5 4 3" xfId="12901"/>
    <cellStyle name="Normal 2 2 2 5 4 3 2" xfId="20716"/>
    <cellStyle name="Normal 2 2 2 5 4 4" xfId="16829"/>
    <cellStyle name="Normal 2 2 2 5 5" xfId="4011"/>
    <cellStyle name="Normal 2 2 2 5 5 2" xfId="12903"/>
    <cellStyle name="Normal 2 2 2 5 5 2 2" xfId="20718"/>
    <cellStyle name="Normal 2 2 2 5 5 3" xfId="16831"/>
    <cellStyle name="Normal 2 2 2 5 6" xfId="12890"/>
    <cellStyle name="Normal 2 2 2 5 6 2" xfId="20705"/>
    <cellStyle name="Normal 2 2 2 5 7" xfId="16818"/>
    <cellStyle name="Normal 2 2 2 6" xfId="4012"/>
    <cellStyle name="Normal 2 2 2 6 2" xfId="4013"/>
    <cellStyle name="Normal 2 2 2 6 2 2" xfId="4014"/>
    <cellStyle name="Normal 2 2 2 6 2 2 2" xfId="4015"/>
    <cellStyle name="Normal 2 2 2 6 2 2 2 2" xfId="12907"/>
    <cellStyle name="Normal 2 2 2 6 2 2 2 2 2" xfId="20722"/>
    <cellStyle name="Normal 2 2 2 6 2 2 2 3" xfId="16835"/>
    <cellStyle name="Normal 2 2 2 6 2 2 3" xfId="12906"/>
    <cellStyle name="Normal 2 2 2 6 2 2 3 2" xfId="20721"/>
    <cellStyle name="Normal 2 2 2 6 2 2 4" xfId="16834"/>
    <cellStyle name="Normal 2 2 2 6 2 3" xfId="4016"/>
    <cellStyle name="Normal 2 2 2 6 2 3 2" xfId="12908"/>
    <cellStyle name="Normal 2 2 2 6 2 3 2 2" xfId="20723"/>
    <cellStyle name="Normal 2 2 2 6 2 3 3" xfId="16836"/>
    <cellStyle name="Normal 2 2 2 6 2 4" xfId="12905"/>
    <cellStyle name="Normal 2 2 2 6 2 4 2" xfId="20720"/>
    <cellStyle name="Normal 2 2 2 6 2 5" xfId="16833"/>
    <cellStyle name="Normal 2 2 2 6 3" xfId="4017"/>
    <cellStyle name="Normal 2 2 2 6 3 2" xfId="4018"/>
    <cellStyle name="Normal 2 2 2 6 3 2 2" xfId="12910"/>
    <cellStyle name="Normal 2 2 2 6 3 2 2 2" xfId="20725"/>
    <cellStyle name="Normal 2 2 2 6 3 2 3" xfId="16838"/>
    <cellStyle name="Normal 2 2 2 6 3 3" xfId="12909"/>
    <cellStyle name="Normal 2 2 2 6 3 3 2" xfId="20724"/>
    <cellStyle name="Normal 2 2 2 6 3 4" xfId="16837"/>
    <cellStyle name="Normal 2 2 2 6 4" xfId="4019"/>
    <cellStyle name="Normal 2 2 2 6 4 2" xfId="12911"/>
    <cellStyle name="Normal 2 2 2 6 4 2 2" xfId="20726"/>
    <cellStyle name="Normal 2 2 2 6 4 3" xfId="16839"/>
    <cellStyle name="Normal 2 2 2 6 5" xfId="12904"/>
    <cellStyle name="Normal 2 2 2 6 5 2" xfId="20719"/>
    <cellStyle name="Normal 2 2 2 6 6" xfId="16832"/>
    <cellStyle name="Normal 2 2 2 7" xfId="4020"/>
    <cellStyle name="Normal 2 2 2 7 2" xfId="4021"/>
    <cellStyle name="Normal 2 2 2 7 2 2" xfId="4022"/>
    <cellStyle name="Normal 2 2 2 7 2 2 2" xfId="4023"/>
    <cellStyle name="Normal 2 2 2 7 2 3" xfId="4024"/>
    <cellStyle name="Normal 2 2 2 7 3" xfId="4025"/>
    <cellStyle name="Normal 2 2 2 7 3 2" xfId="4026"/>
    <cellStyle name="Normal 2 2 2 7 4" xfId="4027"/>
    <cellStyle name="Normal 2 2 2 7 5" xfId="12912"/>
    <cellStyle name="Normal 2 2 2 7 5 2" xfId="20727"/>
    <cellStyle name="Normal 2 2 2 7 6" xfId="16840"/>
    <cellStyle name="Normal 2 2 2 8" xfId="4028"/>
    <cellStyle name="Normal 2 2 2 8 2" xfId="4029"/>
    <cellStyle name="Normal 2 2 2 8 2 2" xfId="4030"/>
    <cellStyle name="Normal 2 2 2 8 3" xfId="4031"/>
    <cellStyle name="Normal 2 2 2 9" xfId="4032"/>
    <cellStyle name="Normal 2 2 2 9 2" xfId="4033"/>
    <cellStyle name="Normal 2 2 3" xfId="24"/>
    <cellStyle name="Normal 2 2 3 10" xfId="4035"/>
    <cellStyle name="Normal 2 2 3 10 2" xfId="4036"/>
    <cellStyle name="Normal 2 2 3 11" xfId="4037"/>
    <cellStyle name="Normal 2 2 3 12" xfId="4034"/>
    <cellStyle name="Normal 2 2 3 2" xfId="4038"/>
    <cellStyle name="Normal 2 2 3 2 10" xfId="4039"/>
    <cellStyle name="Normal 2 2 3 2 2" xfId="4040"/>
    <cellStyle name="Normal 2 2 3 2 2 2" xfId="4041"/>
    <cellStyle name="Normal 2 2 3 2 2 2 2" xfId="4042"/>
    <cellStyle name="Normal 2 2 3 2 2 2 2 2" xfId="4043"/>
    <cellStyle name="Normal 2 2 3 2 2 2 2 2 2" xfId="4044"/>
    <cellStyle name="Normal 2 2 3 2 2 2 2 2 2 2" xfId="4045"/>
    <cellStyle name="Normal 2 2 3 2 2 2 2 2 3" xfId="4046"/>
    <cellStyle name="Normal 2 2 3 2 2 2 2 2 3 2" xfId="4047"/>
    <cellStyle name="Normal 2 2 3 2 2 2 2 2 4" xfId="4048"/>
    <cellStyle name="Normal 2 2 3 2 2 2 2 3" xfId="4049"/>
    <cellStyle name="Normal 2 2 3 2 2 2 2 3 2" xfId="4050"/>
    <cellStyle name="Normal 2 2 3 2 2 2 2 3 2 2" xfId="4051"/>
    <cellStyle name="Normal 2 2 3 2 2 2 2 3 3" xfId="4052"/>
    <cellStyle name="Normal 2 2 3 2 2 2 2 4" xfId="4053"/>
    <cellStyle name="Normal 2 2 3 2 2 2 2 4 2" xfId="4054"/>
    <cellStyle name="Normal 2 2 3 2 2 2 2 5" xfId="4055"/>
    <cellStyle name="Normal 2 2 3 2 2 2 3" xfId="4056"/>
    <cellStyle name="Normal 2 2 3 2 2 2 3 2" xfId="4057"/>
    <cellStyle name="Normal 2 2 3 2 2 2 3 2 2" xfId="4058"/>
    <cellStyle name="Normal 2 2 3 2 2 2 3 2 2 2" xfId="4059"/>
    <cellStyle name="Normal 2 2 3 2 2 2 3 2 3" xfId="4060"/>
    <cellStyle name="Normal 2 2 3 2 2 2 3 3" xfId="4061"/>
    <cellStyle name="Normal 2 2 3 2 2 2 3 3 2" xfId="4062"/>
    <cellStyle name="Normal 2 2 3 2 2 2 3 4" xfId="4063"/>
    <cellStyle name="Normal 2 2 3 2 2 2 3 4 2" xfId="4064"/>
    <cellStyle name="Normal 2 2 3 2 2 2 3 5" xfId="4065"/>
    <cellStyle name="Normal 2 2 3 2 2 2 4" xfId="4066"/>
    <cellStyle name="Normal 2 2 3 2 2 2 4 2" xfId="4067"/>
    <cellStyle name="Normal 2 2 3 2 2 2 4 2 2" xfId="4068"/>
    <cellStyle name="Normal 2 2 3 2 2 2 4 3" xfId="4069"/>
    <cellStyle name="Normal 2 2 3 2 2 2 5" xfId="4070"/>
    <cellStyle name="Normal 2 2 3 2 2 2 5 2" xfId="4071"/>
    <cellStyle name="Normal 2 2 3 2 2 2 6" xfId="4072"/>
    <cellStyle name="Normal 2 2 3 2 2 3" xfId="4073"/>
    <cellStyle name="Normal 2 2 3 2 2 3 2" xfId="4074"/>
    <cellStyle name="Normal 2 2 3 2 2 3 2 2" xfId="4075"/>
    <cellStyle name="Normal 2 2 3 2 2 3 2 2 2" xfId="4076"/>
    <cellStyle name="Normal 2 2 3 2 2 3 2 3" xfId="4077"/>
    <cellStyle name="Normal 2 2 3 2 2 3 2 3 2" xfId="4078"/>
    <cellStyle name="Normal 2 2 3 2 2 3 2 4" xfId="4079"/>
    <cellStyle name="Normal 2 2 3 2 2 3 3" xfId="4080"/>
    <cellStyle name="Normal 2 2 3 2 2 3 3 2" xfId="4081"/>
    <cellStyle name="Normal 2 2 3 2 2 3 3 2 2" xfId="4082"/>
    <cellStyle name="Normal 2 2 3 2 2 3 3 3" xfId="4083"/>
    <cellStyle name="Normal 2 2 3 2 2 3 4" xfId="4084"/>
    <cellStyle name="Normal 2 2 3 2 2 3 4 2" xfId="4085"/>
    <cellStyle name="Normal 2 2 3 2 2 3 5" xfId="4086"/>
    <cellStyle name="Normal 2 2 3 2 2 4" xfId="4087"/>
    <cellStyle name="Normal 2 2 3 2 2 4 2" xfId="4088"/>
    <cellStyle name="Normal 2 2 3 2 2 4 2 2" xfId="4089"/>
    <cellStyle name="Normal 2 2 3 2 2 4 2 2 2" xfId="4090"/>
    <cellStyle name="Normal 2 2 3 2 2 4 2 3" xfId="4091"/>
    <cellStyle name="Normal 2 2 3 2 2 4 3" xfId="4092"/>
    <cellStyle name="Normal 2 2 3 2 2 4 3 2" xfId="4093"/>
    <cellStyle name="Normal 2 2 3 2 2 4 4" xfId="4094"/>
    <cellStyle name="Normal 2 2 3 2 2 5" xfId="4095"/>
    <cellStyle name="Normal 2 2 3 2 2 5 2" xfId="4096"/>
    <cellStyle name="Normal 2 2 3 2 2 5 2 2" xfId="4097"/>
    <cellStyle name="Normal 2 2 3 2 2 5 2 2 2" xfId="4098"/>
    <cellStyle name="Normal 2 2 3 2 2 5 2 3" xfId="4099"/>
    <cellStyle name="Normal 2 2 3 2 2 5 3" xfId="4100"/>
    <cellStyle name="Normal 2 2 3 2 2 5 3 2" xfId="4101"/>
    <cellStyle name="Normal 2 2 3 2 2 5 4" xfId="4102"/>
    <cellStyle name="Normal 2 2 3 2 2 5 4 2" xfId="4103"/>
    <cellStyle name="Normal 2 2 3 2 2 5 5" xfId="4104"/>
    <cellStyle name="Normal 2 2 3 2 2 6" xfId="4105"/>
    <cellStyle name="Normal 2 2 3 2 2 6 2" xfId="4106"/>
    <cellStyle name="Normal 2 2 3 2 2 6 2 2" xfId="4107"/>
    <cellStyle name="Normal 2 2 3 2 2 6 3" xfId="4108"/>
    <cellStyle name="Normal 2 2 3 2 2 7" xfId="4109"/>
    <cellStyle name="Normal 2 2 3 2 2 7 2" xfId="4110"/>
    <cellStyle name="Normal 2 2 3 2 2 8" xfId="4111"/>
    <cellStyle name="Normal 2 2 3 2 3" xfId="4112"/>
    <cellStyle name="Normal 2 2 3 2 3 2" xfId="4113"/>
    <cellStyle name="Normal 2 2 3 2 3 2 2" xfId="4114"/>
    <cellStyle name="Normal 2 2 3 2 3 2 2 2" xfId="4115"/>
    <cellStyle name="Normal 2 2 3 2 3 2 2 2 2" xfId="4116"/>
    <cellStyle name="Normal 2 2 3 2 3 2 2 3" xfId="4117"/>
    <cellStyle name="Normal 2 2 3 2 3 2 2 3 2" xfId="4118"/>
    <cellStyle name="Normal 2 2 3 2 3 2 2 4" xfId="4119"/>
    <cellStyle name="Normal 2 2 3 2 3 2 3" xfId="4120"/>
    <cellStyle name="Normal 2 2 3 2 3 2 3 2" xfId="4121"/>
    <cellStyle name="Normal 2 2 3 2 3 2 3 2 2" xfId="4122"/>
    <cellStyle name="Normal 2 2 3 2 3 2 3 3" xfId="4123"/>
    <cellStyle name="Normal 2 2 3 2 3 2 4" xfId="4124"/>
    <cellStyle name="Normal 2 2 3 2 3 2 4 2" xfId="4125"/>
    <cellStyle name="Normal 2 2 3 2 3 2 5" xfId="4126"/>
    <cellStyle name="Normal 2 2 3 2 3 3" xfId="4127"/>
    <cellStyle name="Normal 2 2 3 2 3 3 2" xfId="4128"/>
    <cellStyle name="Normal 2 2 3 2 3 3 2 2" xfId="4129"/>
    <cellStyle name="Normal 2 2 3 2 3 3 2 2 2" xfId="4130"/>
    <cellStyle name="Normal 2 2 3 2 3 3 2 3" xfId="4131"/>
    <cellStyle name="Normal 2 2 3 2 3 3 3" xfId="4132"/>
    <cellStyle name="Normal 2 2 3 2 3 3 3 2" xfId="4133"/>
    <cellStyle name="Normal 2 2 3 2 3 3 4" xfId="4134"/>
    <cellStyle name="Normal 2 2 3 2 3 3 4 2" xfId="4135"/>
    <cellStyle name="Normal 2 2 3 2 3 3 5" xfId="4136"/>
    <cellStyle name="Normal 2 2 3 2 3 4" xfId="4137"/>
    <cellStyle name="Normal 2 2 3 2 3 4 2" xfId="4138"/>
    <cellStyle name="Normal 2 2 3 2 3 4 2 2" xfId="4139"/>
    <cellStyle name="Normal 2 2 3 2 3 4 3" xfId="4140"/>
    <cellStyle name="Normal 2 2 3 2 3 5" xfId="4141"/>
    <cellStyle name="Normal 2 2 3 2 3 5 2" xfId="4142"/>
    <cellStyle name="Normal 2 2 3 2 3 6" xfId="4143"/>
    <cellStyle name="Normal 2 2 3 2 4" xfId="4144"/>
    <cellStyle name="Normal 2 2 3 2 4 2" xfId="4145"/>
    <cellStyle name="Normal 2 2 3 2 4 2 2" xfId="4146"/>
    <cellStyle name="Normal 2 2 3 2 4 2 2 2" xfId="4147"/>
    <cellStyle name="Normal 2 2 3 2 4 2 3" xfId="4148"/>
    <cellStyle name="Normal 2 2 3 2 4 2 3 2" xfId="4149"/>
    <cellStyle name="Normal 2 2 3 2 4 2 4" xfId="4150"/>
    <cellStyle name="Normal 2 2 3 2 4 3" xfId="4151"/>
    <cellStyle name="Normal 2 2 3 2 4 3 2" xfId="4152"/>
    <cellStyle name="Normal 2 2 3 2 4 3 2 2" xfId="4153"/>
    <cellStyle name="Normal 2 2 3 2 4 3 3" xfId="4154"/>
    <cellStyle name="Normal 2 2 3 2 4 4" xfId="4155"/>
    <cellStyle name="Normal 2 2 3 2 4 4 2" xfId="4156"/>
    <cellStyle name="Normal 2 2 3 2 4 5" xfId="4157"/>
    <cellStyle name="Normal 2 2 3 2 5" xfId="4158"/>
    <cellStyle name="Normal 2 2 3 2 5 2" xfId="4159"/>
    <cellStyle name="Normal 2 2 3 2 5 2 2" xfId="4160"/>
    <cellStyle name="Normal 2 2 3 2 5 2 2 2" xfId="4161"/>
    <cellStyle name="Normal 2 2 3 2 5 2 3" xfId="4162"/>
    <cellStyle name="Normal 2 2 3 2 5 3" xfId="4163"/>
    <cellStyle name="Normal 2 2 3 2 5 3 2" xfId="4164"/>
    <cellStyle name="Normal 2 2 3 2 5 4" xfId="4165"/>
    <cellStyle name="Normal 2 2 3 2 6" xfId="4166"/>
    <cellStyle name="Normal 2 2 3 2 6 2" xfId="4167"/>
    <cellStyle name="Normal 2 2 3 2 6 2 2" xfId="4168"/>
    <cellStyle name="Normal 2 2 3 2 6 2 2 2" xfId="4169"/>
    <cellStyle name="Normal 2 2 3 2 6 2 3" xfId="4170"/>
    <cellStyle name="Normal 2 2 3 2 6 3" xfId="4171"/>
    <cellStyle name="Normal 2 2 3 2 6 3 2" xfId="4172"/>
    <cellStyle name="Normal 2 2 3 2 6 4" xfId="4173"/>
    <cellStyle name="Normal 2 2 3 2 7" xfId="4174"/>
    <cellStyle name="Normal 2 2 3 2 7 2" xfId="4175"/>
    <cellStyle name="Normal 2 2 3 2 7 2 2" xfId="4176"/>
    <cellStyle name="Normal 2 2 3 2 7 3" xfId="4177"/>
    <cellStyle name="Normal 2 2 3 2 8" xfId="4178"/>
    <cellStyle name="Normal 2 2 3 2 8 2" xfId="4179"/>
    <cellStyle name="Normal 2 2 3 2 9" xfId="4180"/>
    <cellStyle name="Normal 2 2 3 2 9 2" xfId="4181"/>
    <cellStyle name="Normal 2 2 3 3" xfId="4182"/>
    <cellStyle name="Normal 2 2 3 3 2" xfId="4183"/>
    <cellStyle name="Normal 2 2 3 3 2 2" xfId="4184"/>
    <cellStyle name="Normal 2 2 3 3 2 2 2" xfId="4185"/>
    <cellStyle name="Normal 2 2 3 3 2 2 2 2" xfId="4186"/>
    <cellStyle name="Normal 2 2 3 3 2 2 2 2 2" xfId="4187"/>
    <cellStyle name="Normal 2 2 3 3 2 2 2 3" xfId="4188"/>
    <cellStyle name="Normal 2 2 3 3 2 2 2 3 2" xfId="4189"/>
    <cellStyle name="Normal 2 2 3 3 2 2 2 4" xfId="4190"/>
    <cellStyle name="Normal 2 2 3 3 2 2 3" xfId="4191"/>
    <cellStyle name="Normal 2 2 3 3 2 2 3 2" xfId="4192"/>
    <cellStyle name="Normal 2 2 3 3 2 2 3 2 2" xfId="4193"/>
    <cellStyle name="Normal 2 2 3 3 2 2 3 3" xfId="4194"/>
    <cellStyle name="Normal 2 2 3 3 2 2 4" xfId="4195"/>
    <cellStyle name="Normal 2 2 3 3 2 2 4 2" xfId="4196"/>
    <cellStyle name="Normal 2 2 3 3 2 2 5" xfId="4197"/>
    <cellStyle name="Normal 2 2 3 3 2 3" xfId="4198"/>
    <cellStyle name="Normal 2 2 3 3 2 3 2" xfId="4199"/>
    <cellStyle name="Normal 2 2 3 3 2 3 2 2" xfId="4200"/>
    <cellStyle name="Normal 2 2 3 3 2 3 2 2 2" xfId="4201"/>
    <cellStyle name="Normal 2 2 3 3 2 3 2 3" xfId="4202"/>
    <cellStyle name="Normal 2 2 3 3 2 3 3" xfId="4203"/>
    <cellStyle name="Normal 2 2 3 3 2 3 3 2" xfId="4204"/>
    <cellStyle name="Normal 2 2 3 3 2 3 4" xfId="4205"/>
    <cellStyle name="Normal 2 2 3 3 2 3 4 2" xfId="4206"/>
    <cellStyle name="Normal 2 2 3 3 2 3 5" xfId="4207"/>
    <cellStyle name="Normal 2 2 3 3 2 4" xfId="4208"/>
    <cellStyle name="Normal 2 2 3 3 2 4 2" xfId="4209"/>
    <cellStyle name="Normal 2 2 3 3 2 4 2 2" xfId="4210"/>
    <cellStyle name="Normal 2 2 3 3 2 4 3" xfId="4211"/>
    <cellStyle name="Normal 2 2 3 3 2 5" xfId="4212"/>
    <cellStyle name="Normal 2 2 3 3 2 5 2" xfId="4213"/>
    <cellStyle name="Normal 2 2 3 3 2 6" xfId="4214"/>
    <cellStyle name="Normal 2 2 3 3 3" xfId="4215"/>
    <cellStyle name="Normal 2 2 3 3 3 2" xfId="4216"/>
    <cellStyle name="Normal 2 2 3 3 3 2 2" xfId="4217"/>
    <cellStyle name="Normal 2 2 3 3 3 2 2 2" xfId="4218"/>
    <cellStyle name="Normal 2 2 3 3 3 2 3" xfId="4219"/>
    <cellStyle name="Normal 2 2 3 3 3 2 3 2" xfId="4220"/>
    <cellStyle name="Normal 2 2 3 3 3 2 4" xfId="4221"/>
    <cellStyle name="Normal 2 2 3 3 3 3" xfId="4222"/>
    <cellStyle name="Normal 2 2 3 3 3 3 2" xfId="4223"/>
    <cellStyle name="Normal 2 2 3 3 3 3 2 2" xfId="4224"/>
    <cellStyle name="Normal 2 2 3 3 3 3 3" xfId="4225"/>
    <cellStyle name="Normal 2 2 3 3 3 4" xfId="4226"/>
    <cellStyle name="Normal 2 2 3 3 3 4 2" xfId="4227"/>
    <cellStyle name="Normal 2 2 3 3 3 5" xfId="4228"/>
    <cellStyle name="Normal 2 2 3 3 4" xfId="4229"/>
    <cellStyle name="Normal 2 2 3 3 4 2" xfId="4230"/>
    <cellStyle name="Normal 2 2 3 3 4 2 2" xfId="4231"/>
    <cellStyle name="Normal 2 2 3 3 4 2 2 2" xfId="4232"/>
    <cellStyle name="Normal 2 2 3 3 4 2 3" xfId="4233"/>
    <cellStyle name="Normal 2 2 3 3 4 3" xfId="4234"/>
    <cellStyle name="Normal 2 2 3 3 4 3 2" xfId="4235"/>
    <cellStyle name="Normal 2 2 3 3 4 4" xfId="4236"/>
    <cellStyle name="Normal 2 2 3 3 5" xfId="4237"/>
    <cellStyle name="Normal 2 2 3 3 5 2" xfId="4238"/>
    <cellStyle name="Normal 2 2 3 3 5 2 2" xfId="4239"/>
    <cellStyle name="Normal 2 2 3 3 5 2 2 2" xfId="4240"/>
    <cellStyle name="Normal 2 2 3 3 5 2 3" xfId="4241"/>
    <cellStyle name="Normal 2 2 3 3 5 3" xfId="4242"/>
    <cellStyle name="Normal 2 2 3 3 5 3 2" xfId="4243"/>
    <cellStyle name="Normal 2 2 3 3 5 4" xfId="4244"/>
    <cellStyle name="Normal 2 2 3 3 5 4 2" xfId="4245"/>
    <cellStyle name="Normal 2 2 3 3 5 5" xfId="4246"/>
    <cellStyle name="Normal 2 2 3 3 6" xfId="4247"/>
    <cellStyle name="Normal 2 2 3 3 6 2" xfId="4248"/>
    <cellStyle name="Normal 2 2 3 3 6 2 2" xfId="4249"/>
    <cellStyle name="Normal 2 2 3 3 6 3" xfId="4250"/>
    <cellStyle name="Normal 2 2 3 3 7" xfId="4251"/>
    <cellStyle name="Normal 2 2 3 3 7 2" xfId="4252"/>
    <cellStyle name="Normal 2 2 3 3 8" xfId="4253"/>
    <cellStyle name="Normal 2 2 3 4" xfId="4254"/>
    <cellStyle name="Normal 2 2 3 4 2" xfId="4255"/>
    <cellStyle name="Normal 2 2 3 4 2 2" xfId="4256"/>
    <cellStyle name="Normal 2 2 3 4 2 2 2" xfId="4257"/>
    <cellStyle name="Normal 2 2 3 4 2 2 2 2" xfId="4258"/>
    <cellStyle name="Normal 2 2 3 4 2 2 3" xfId="4259"/>
    <cellStyle name="Normal 2 2 3 4 2 2 3 2" xfId="4260"/>
    <cellStyle name="Normal 2 2 3 4 2 2 4" xfId="4261"/>
    <cellStyle name="Normal 2 2 3 4 2 3" xfId="4262"/>
    <cellStyle name="Normal 2 2 3 4 2 3 2" xfId="4263"/>
    <cellStyle name="Normal 2 2 3 4 2 3 2 2" xfId="4264"/>
    <cellStyle name="Normal 2 2 3 4 2 3 3" xfId="4265"/>
    <cellStyle name="Normal 2 2 3 4 2 4" xfId="4266"/>
    <cellStyle name="Normal 2 2 3 4 2 4 2" xfId="4267"/>
    <cellStyle name="Normal 2 2 3 4 2 5" xfId="4268"/>
    <cellStyle name="Normal 2 2 3 4 3" xfId="4269"/>
    <cellStyle name="Normal 2 2 3 4 3 2" xfId="4270"/>
    <cellStyle name="Normal 2 2 3 4 3 2 2" xfId="4271"/>
    <cellStyle name="Normal 2 2 3 4 3 2 2 2" xfId="4272"/>
    <cellStyle name="Normal 2 2 3 4 3 2 3" xfId="4273"/>
    <cellStyle name="Normal 2 2 3 4 3 3" xfId="4274"/>
    <cellStyle name="Normal 2 2 3 4 3 3 2" xfId="4275"/>
    <cellStyle name="Normal 2 2 3 4 3 4" xfId="4276"/>
    <cellStyle name="Normal 2 2 3 4 3 4 2" xfId="4277"/>
    <cellStyle name="Normal 2 2 3 4 3 5" xfId="4278"/>
    <cellStyle name="Normal 2 2 3 4 4" xfId="4279"/>
    <cellStyle name="Normal 2 2 3 4 4 2" xfId="4280"/>
    <cellStyle name="Normal 2 2 3 4 4 2 2" xfId="4281"/>
    <cellStyle name="Normal 2 2 3 4 4 3" xfId="4282"/>
    <cellStyle name="Normal 2 2 3 4 5" xfId="4283"/>
    <cellStyle name="Normal 2 2 3 4 5 2" xfId="4284"/>
    <cellStyle name="Normal 2 2 3 4 6" xfId="4285"/>
    <cellStyle name="Normal 2 2 3 5" xfId="4286"/>
    <cellStyle name="Normal 2 2 3 5 2" xfId="4287"/>
    <cellStyle name="Normal 2 2 3 5 2 2" xfId="4288"/>
    <cellStyle name="Normal 2 2 3 5 2 2 2" xfId="4289"/>
    <cellStyle name="Normal 2 2 3 5 2 3" xfId="4290"/>
    <cellStyle name="Normal 2 2 3 5 2 3 2" xfId="4291"/>
    <cellStyle name="Normal 2 2 3 5 2 4" xfId="4292"/>
    <cellStyle name="Normal 2 2 3 5 3" xfId="4293"/>
    <cellStyle name="Normal 2 2 3 5 3 2" xfId="4294"/>
    <cellStyle name="Normal 2 2 3 5 3 2 2" xfId="4295"/>
    <cellStyle name="Normal 2 2 3 5 3 3" xfId="4296"/>
    <cellStyle name="Normal 2 2 3 5 4" xfId="4297"/>
    <cellStyle name="Normal 2 2 3 5 4 2" xfId="4298"/>
    <cellStyle name="Normal 2 2 3 5 5" xfId="4299"/>
    <cellStyle name="Normal 2 2 3 6" xfId="4300"/>
    <cellStyle name="Normal 2 2 3 6 2" xfId="4301"/>
    <cellStyle name="Normal 2 2 3 6 2 2" xfId="4302"/>
    <cellStyle name="Normal 2 2 3 6 2 2 2" xfId="4303"/>
    <cellStyle name="Normal 2 2 3 6 2 3" xfId="4304"/>
    <cellStyle name="Normal 2 2 3 6 3" xfId="4305"/>
    <cellStyle name="Normal 2 2 3 6 3 2" xfId="4306"/>
    <cellStyle name="Normal 2 2 3 6 4" xfId="4307"/>
    <cellStyle name="Normal 2 2 3 7" xfId="4308"/>
    <cellStyle name="Normal 2 2 3 7 2" xfId="4309"/>
    <cellStyle name="Normal 2 2 3 7 2 2" xfId="4310"/>
    <cellStyle name="Normal 2 2 3 7 2 2 2" xfId="4311"/>
    <cellStyle name="Normal 2 2 3 7 2 3" xfId="4312"/>
    <cellStyle name="Normal 2 2 3 7 3" xfId="4313"/>
    <cellStyle name="Normal 2 2 3 7 3 2" xfId="4314"/>
    <cellStyle name="Normal 2 2 3 7 4" xfId="4315"/>
    <cellStyle name="Normal 2 2 3 8" xfId="4316"/>
    <cellStyle name="Normal 2 2 3 8 2" xfId="4317"/>
    <cellStyle name="Normal 2 2 3 8 2 2" xfId="4318"/>
    <cellStyle name="Normal 2 2 3 8 3" xfId="4319"/>
    <cellStyle name="Normal 2 2 3 9" xfId="4320"/>
    <cellStyle name="Normal 2 2 3 9 2" xfId="4321"/>
    <cellStyle name="Normal 2 2 4" xfId="4322"/>
    <cellStyle name="Normal 2 2 4 10" xfId="4323"/>
    <cellStyle name="Normal 2 2 4 11" xfId="8995"/>
    <cellStyle name="Normal 2 2 4 2" xfId="4324"/>
    <cellStyle name="Normal 2 2 4 2 2" xfId="4325"/>
    <cellStyle name="Normal 2 2 4 2 2 2" xfId="4326"/>
    <cellStyle name="Normal 2 2 4 2 2 2 2" xfId="4327"/>
    <cellStyle name="Normal 2 2 4 2 2 2 2 2" xfId="4328"/>
    <cellStyle name="Normal 2 2 4 2 2 2 2 2 2" xfId="4329"/>
    <cellStyle name="Normal 2 2 4 2 2 2 2 3" xfId="4330"/>
    <cellStyle name="Normal 2 2 4 2 2 2 2 3 2" xfId="4331"/>
    <cellStyle name="Normal 2 2 4 2 2 2 2 4" xfId="4332"/>
    <cellStyle name="Normal 2 2 4 2 2 2 3" xfId="4333"/>
    <cellStyle name="Normal 2 2 4 2 2 2 3 2" xfId="4334"/>
    <cellStyle name="Normal 2 2 4 2 2 2 3 2 2" xfId="4335"/>
    <cellStyle name="Normal 2 2 4 2 2 2 3 3" xfId="4336"/>
    <cellStyle name="Normal 2 2 4 2 2 2 4" xfId="4337"/>
    <cellStyle name="Normal 2 2 4 2 2 2 4 2" xfId="4338"/>
    <cellStyle name="Normal 2 2 4 2 2 2 5" xfId="4339"/>
    <cellStyle name="Normal 2 2 4 2 2 3" xfId="4340"/>
    <cellStyle name="Normal 2 2 4 2 2 3 2" xfId="4341"/>
    <cellStyle name="Normal 2 2 4 2 2 3 2 2" xfId="4342"/>
    <cellStyle name="Normal 2 2 4 2 2 3 2 2 2" xfId="4343"/>
    <cellStyle name="Normal 2 2 4 2 2 3 2 3" xfId="4344"/>
    <cellStyle name="Normal 2 2 4 2 2 3 3" xfId="4345"/>
    <cellStyle name="Normal 2 2 4 2 2 3 3 2" xfId="4346"/>
    <cellStyle name="Normal 2 2 4 2 2 3 4" xfId="4347"/>
    <cellStyle name="Normal 2 2 4 2 2 3 4 2" xfId="4348"/>
    <cellStyle name="Normal 2 2 4 2 2 3 5" xfId="4349"/>
    <cellStyle name="Normal 2 2 4 2 2 4" xfId="4350"/>
    <cellStyle name="Normal 2 2 4 2 2 4 2" xfId="4351"/>
    <cellStyle name="Normal 2 2 4 2 2 4 2 2" xfId="4352"/>
    <cellStyle name="Normal 2 2 4 2 2 4 3" xfId="4353"/>
    <cellStyle name="Normal 2 2 4 2 2 5" xfId="4354"/>
    <cellStyle name="Normal 2 2 4 2 2 5 2" xfId="4355"/>
    <cellStyle name="Normal 2 2 4 2 2 6" xfId="4356"/>
    <cellStyle name="Normal 2 2 4 2 3" xfId="4357"/>
    <cellStyle name="Normal 2 2 4 2 3 2" xfId="4358"/>
    <cellStyle name="Normal 2 2 4 2 3 2 2" xfId="4359"/>
    <cellStyle name="Normal 2 2 4 2 3 2 2 2" xfId="4360"/>
    <cellStyle name="Normal 2 2 4 2 3 2 3" xfId="4361"/>
    <cellStyle name="Normal 2 2 4 2 3 2 3 2" xfId="4362"/>
    <cellStyle name="Normal 2 2 4 2 3 2 4" xfId="4363"/>
    <cellStyle name="Normal 2 2 4 2 3 3" xfId="4364"/>
    <cellStyle name="Normal 2 2 4 2 3 3 2" xfId="4365"/>
    <cellStyle name="Normal 2 2 4 2 3 3 2 2" xfId="4366"/>
    <cellStyle name="Normal 2 2 4 2 3 3 3" xfId="4367"/>
    <cellStyle name="Normal 2 2 4 2 3 4" xfId="4368"/>
    <cellStyle name="Normal 2 2 4 2 3 4 2" xfId="4369"/>
    <cellStyle name="Normal 2 2 4 2 3 5" xfId="4370"/>
    <cellStyle name="Normal 2 2 4 2 4" xfId="4371"/>
    <cellStyle name="Normal 2 2 4 2 4 2" xfId="4372"/>
    <cellStyle name="Normal 2 2 4 2 4 2 2" xfId="4373"/>
    <cellStyle name="Normal 2 2 4 2 4 2 2 2" xfId="4374"/>
    <cellStyle name="Normal 2 2 4 2 4 2 3" xfId="4375"/>
    <cellStyle name="Normal 2 2 4 2 4 3" xfId="4376"/>
    <cellStyle name="Normal 2 2 4 2 4 3 2" xfId="4377"/>
    <cellStyle name="Normal 2 2 4 2 4 4" xfId="4378"/>
    <cellStyle name="Normal 2 2 4 2 5" xfId="4379"/>
    <cellStyle name="Normal 2 2 4 2 5 2" xfId="4380"/>
    <cellStyle name="Normal 2 2 4 2 5 2 2" xfId="4381"/>
    <cellStyle name="Normal 2 2 4 2 5 2 2 2" xfId="4382"/>
    <cellStyle name="Normal 2 2 4 2 5 2 3" xfId="4383"/>
    <cellStyle name="Normal 2 2 4 2 5 3" xfId="4384"/>
    <cellStyle name="Normal 2 2 4 2 5 3 2" xfId="4385"/>
    <cellStyle name="Normal 2 2 4 2 5 4" xfId="4386"/>
    <cellStyle name="Normal 2 2 4 2 5 4 2" xfId="4387"/>
    <cellStyle name="Normal 2 2 4 2 5 5" xfId="4388"/>
    <cellStyle name="Normal 2 2 4 2 6" xfId="4389"/>
    <cellStyle name="Normal 2 2 4 2 6 2" xfId="4390"/>
    <cellStyle name="Normal 2 2 4 2 6 2 2" xfId="4391"/>
    <cellStyle name="Normal 2 2 4 2 6 3" xfId="4392"/>
    <cellStyle name="Normal 2 2 4 2 7" xfId="4393"/>
    <cellStyle name="Normal 2 2 4 2 7 2" xfId="4394"/>
    <cellStyle name="Normal 2 2 4 2 8" xfId="4395"/>
    <cellStyle name="Normal 2 2 4 3" xfId="4396"/>
    <cellStyle name="Normal 2 2 4 3 2" xfId="4397"/>
    <cellStyle name="Normal 2 2 4 3 2 2" xfId="4398"/>
    <cellStyle name="Normal 2 2 4 3 2 2 2" xfId="4399"/>
    <cellStyle name="Normal 2 2 4 3 2 2 2 2" xfId="4400"/>
    <cellStyle name="Normal 2 2 4 3 2 2 3" xfId="4401"/>
    <cellStyle name="Normal 2 2 4 3 2 2 3 2" xfId="4402"/>
    <cellStyle name="Normal 2 2 4 3 2 2 4" xfId="4403"/>
    <cellStyle name="Normal 2 2 4 3 2 3" xfId="4404"/>
    <cellStyle name="Normal 2 2 4 3 2 3 2" xfId="4405"/>
    <cellStyle name="Normal 2 2 4 3 2 3 2 2" xfId="4406"/>
    <cellStyle name="Normal 2 2 4 3 2 3 3" xfId="4407"/>
    <cellStyle name="Normal 2 2 4 3 2 4" xfId="4408"/>
    <cellStyle name="Normal 2 2 4 3 2 4 2" xfId="4409"/>
    <cellStyle name="Normal 2 2 4 3 2 5" xfId="4410"/>
    <cellStyle name="Normal 2 2 4 3 3" xfId="4411"/>
    <cellStyle name="Normal 2 2 4 3 3 2" xfId="4412"/>
    <cellStyle name="Normal 2 2 4 3 3 2 2" xfId="4413"/>
    <cellStyle name="Normal 2 2 4 3 3 2 2 2" xfId="4414"/>
    <cellStyle name="Normal 2 2 4 3 3 2 3" xfId="4415"/>
    <cellStyle name="Normal 2 2 4 3 3 3" xfId="4416"/>
    <cellStyle name="Normal 2 2 4 3 3 3 2" xfId="4417"/>
    <cellStyle name="Normal 2 2 4 3 3 4" xfId="4418"/>
    <cellStyle name="Normal 2 2 4 3 3 4 2" xfId="4419"/>
    <cellStyle name="Normal 2 2 4 3 3 5" xfId="4420"/>
    <cellStyle name="Normal 2 2 4 3 4" xfId="4421"/>
    <cellStyle name="Normal 2 2 4 3 4 2" xfId="4422"/>
    <cellStyle name="Normal 2 2 4 3 4 2 2" xfId="4423"/>
    <cellStyle name="Normal 2 2 4 3 4 3" xfId="4424"/>
    <cellStyle name="Normal 2 2 4 3 5" xfId="4425"/>
    <cellStyle name="Normal 2 2 4 3 5 2" xfId="4426"/>
    <cellStyle name="Normal 2 2 4 3 6" xfId="4427"/>
    <cellStyle name="Normal 2 2 4 4" xfId="4428"/>
    <cellStyle name="Normal 2 2 4 4 2" xfId="4429"/>
    <cellStyle name="Normal 2 2 4 4 2 2" xfId="4430"/>
    <cellStyle name="Normal 2 2 4 4 2 2 2" xfId="4431"/>
    <cellStyle name="Normal 2 2 4 4 2 3" xfId="4432"/>
    <cellStyle name="Normal 2 2 4 4 2 3 2" xfId="4433"/>
    <cellStyle name="Normal 2 2 4 4 2 4" xfId="4434"/>
    <cellStyle name="Normal 2 2 4 4 3" xfId="4435"/>
    <cellStyle name="Normal 2 2 4 4 3 2" xfId="4436"/>
    <cellStyle name="Normal 2 2 4 4 3 2 2" xfId="4437"/>
    <cellStyle name="Normal 2 2 4 4 3 3" xfId="4438"/>
    <cellStyle name="Normal 2 2 4 4 4" xfId="4439"/>
    <cellStyle name="Normal 2 2 4 4 4 2" xfId="4440"/>
    <cellStyle name="Normal 2 2 4 4 5" xfId="4441"/>
    <cellStyle name="Normal 2 2 4 5" xfId="4442"/>
    <cellStyle name="Normal 2 2 4 5 2" xfId="4443"/>
    <cellStyle name="Normal 2 2 4 5 2 2" xfId="4444"/>
    <cellStyle name="Normal 2 2 4 5 2 2 2" xfId="4445"/>
    <cellStyle name="Normal 2 2 4 5 2 3" xfId="4446"/>
    <cellStyle name="Normal 2 2 4 5 3" xfId="4447"/>
    <cellStyle name="Normal 2 2 4 5 3 2" xfId="4448"/>
    <cellStyle name="Normal 2 2 4 5 4" xfId="4449"/>
    <cellStyle name="Normal 2 2 4 6" xfId="4450"/>
    <cellStyle name="Normal 2 2 4 6 2" xfId="4451"/>
    <cellStyle name="Normal 2 2 4 6 2 2" xfId="4452"/>
    <cellStyle name="Normal 2 2 4 6 2 2 2" xfId="4453"/>
    <cellStyle name="Normal 2 2 4 6 2 3" xfId="4454"/>
    <cellStyle name="Normal 2 2 4 6 3" xfId="4455"/>
    <cellStyle name="Normal 2 2 4 6 3 2" xfId="4456"/>
    <cellStyle name="Normal 2 2 4 6 4" xfId="4457"/>
    <cellStyle name="Normal 2 2 4 7" xfId="4458"/>
    <cellStyle name="Normal 2 2 4 7 2" xfId="4459"/>
    <cellStyle name="Normal 2 2 4 7 2 2" xfId="4460"/>
    <cellStyle name="Normal 2 2 4 7 3" xfId="4461"/>
    <cellStyle name="Normal 2 2 4 8" xfId="4462"/>
    <cellStyle name="Normal 2 2 4 8 2" xfId="4463"/>
    <cellStyle name="Normal 2 2 4 9" xfId="4464"/>
    <cellStyle name="Normal 2 2 4 9 2" xfId="4465"/>
    <cellStyle name="Normal 2 2 5" xfId="4466"/>
    <cellStyle name="Normal 2 2 5 2" xfId="4467"/>
    <cellStyle name="Normal 2 2 5 2 2" xfId="4468"/>
    <cellStyle name="Normal 2 2 5 2 2 2" xfId="4469"/>
    <cellStyle name="Normal 2 2 5 2 2 2 2" xfId="4470"/>
    <cellStyle name="Normal 2 2 5 2 2 2 2 2" xfId="4471"/>
    <cellStyle name="Normal 2 2 5 2 2 2 3" xfId="4472"/>
    <cellStyle name="Normal 2 2 5 2 2 2 3 2" xfId="4473"/>
    <cellStyle name="Normal 2 2 5 2 2 2 4" xfId="4474"/>
    <cellStyle name="Normal 2 2 5 2 2 3" xfId="4475"/>
    <cellStyle name="Normal 2 2 5 2 2 3 2" xfId="4476"/>
    <cellStyle name="Normal 2 2 5 2 2 3 2 2" xfId="4477"/>
    <cellStyle name="Normal 2 2 5 2 2 3 3" xfId="4478"/>
    <cellStyle name="Normal 2 2 5 2 2 4" xfId="4479"/>
    <cellStyle name="Normal 2 2 5 2 2 4 2" xfId="4480"/>
    <cellStyle name="Normal 2 2 5 2 2 5" xfId="4481"/>
    <cellStyle name="Normal 2 2 5 2 3" xfId="4482"/>
    <cellStyle name="Normal 2 2 5 2 3 2" xfId="4483"/>
    <cellStyle name="Normal 2 2 5 2 3 2 2" xfId="4484"/>
    <cellStyle name="Normal 2 2 5 2 3 2 2 2" xfId="4485"/>
    <cellStyle name="Normal 2 2 5 2 3 2 3" xfId="4486"/>
    <cellStyle name="Normal 2 2 5 2 3 3" xfId="4487"/>
    <cellStyle name="Normal 2 2 5 2 3 3 2" xfId="4488"/>
    <cellStyle name="Normal 2 2 5 2 3 4" xfId="4489"/>
    <cellStyle name="Normal 2 2 5 2 3 4 2" xfId="4490"/>
    <cellStyle name="Normal 2 2 5 2 3 5" xfId="4491"/>
    <cellStyle name="Normal 2 2 5 2 4" xfId="4492"/>
    <cellStyle name="Normal 2 2 5 2 4 2" xfId="4493"/>
    <cellStyle name="Normal 2 2 5 2 4 2 2" xfId="4494"/>
    <cellStyle name="Normal 2 2 5 2 4 3" xfId="4495"/>
    <cellStyle name="Normal 2 2 5 2 5" xfId="4496"/>
    <cellStyle name="Normal 2 2 5 2 5 2" xfId="4497"/>
    <cellStyle name="Normal 2 2 5 2 6" xfId="4498"/>
    <cellStyle name="Normal 2 2 5 3" xfId="4499"/>
    <cellStyle name="Normal 2 2 5 3 2" xfId="4500"/>
    <cellStyle name="Normal 2 2 5 3 2 2" xfId="4501"/>
    <cellStyle name="Normal 2 2 5 3 2 2 2" xfId="4502"/>
    <cellStyle name="Normal 2 2 5 3 2 3" xfId="4503"/>
    <cellStyle name="Normal 2 2 5 3 2 3 2" xfId="4504"/>
    <cellStyle name="Normal 2 2 5 3 2 4" xfId="4505"/>
    <cellStyle name="Normal 2 2 5 3 3" xfId="4506"/>
    <cellStyle name="Normal 2 2 5 3 3 2" xfId="4507"/>
    <cellStyle name="Normal 2 2 5 3 3 2 2" xfId="4508"/>
    <cellStyle name="Normal 2 2 5 3 3 3" xfId="4509"/>
    <cellStyle name="Normal 2 2 5 3 4" xfId="4510"/>
    <cellStyle name="Normal 2 2 5 3 4 2" xfId="4511"/>
    <cellStyle name="Normal 2 2 5 3 5" xfId="4512"/>
    <cellStyle name="Normal 2 2 5 4" xfId="4513"/>
    <cellStyle name="Normal 2 2 5 4 2" xfId="4514"/>
    <cellStyle name="Normal 2 2 5 4 2 2" xfId="4515"/>
    <cellStyle name="Normal 2 2 5 4 2 2 2" xfId="4516"/>
    <cellStyle name="Normal 2 2 5 4 2 3" xfId="4517"/>
    <cellStyle name="Normal 2 2 5 4 3" xfId="4518"/>
    <cellStyle name="Normal 2 2 5 4 3 2" xfId="4519"/>
    <cellStyle name="Normal 2 2 5 4 4" xfId="4520"/>
    <cellStyle name="Normal 2 2 5 5" xfId="4521"/>
    <cellStyle name="Normal 2 2 5 5 2" xfId="4522"/>
    <cellStyle name="Normal 2 2 5 5 2 2" xfId="4523"/>
    <cellStyle name="Normal 2 2 5 5 2 2 2" xfId="4524"/>
    <cellStyle name="Normal 2 2 5 5 2 3" xfId="4525"/>
    <cellStyle name="Normal 2 2 5 5 3" xfId="4526"/>
    <cellStyle name="Normal 2 2 5 5 3 2" xfId="4527"/>
    <cellStyle name="Normal 2 2 5 5 4" xfId="4528"/>
    <cellStyle name="Normal 2 2 5 5 4 2" xfId="4529"/>
    <cellStyle name="Normal 2 2 5 5 5" xfId="4530"/>
    <cellStyle name="Normal 2 2 5 6" xfId="4531"/>
    <cellStyle name="Normal 2 2 5 6 2" xfId="4532"/>
    <cellStyle name="Normal 2 2 5 6 2 2" xfId="4533"/>
    <cellStyle name="Normal 2 2 5 6 3" xfId="4534"/>
    <cellStyle name="Normal 2 2 5 7" xfId="4535"/>
    <cellStyle name="Normal 2 2 5 7 2" xfId="4536"/>
    <cellStyle name="Normal 2 2 5 8" xfId="4537"/>
    <cellStyle name="Normal 2 2 6" xfId="4538"/>
    <cellStyle name="Normal 2 2 6 2" xfId="4539"/>
    <cellStyle name="Normal 2 2 6 2 2" xfId="4540"/>
    <cellStyle name="Normal 2 2 6 2 2 2" xfId="4541"/>
    <cellStyle name="Normal 2 2 6 2 2 2 2" xfId="4542"/>
    <cellStyle name="Normal 2 2 6 2 2 3" xfId="4543"/>
    <cellStyle name="Normal 2 2 6 2 2 3 2" xfId="4544"/>
    <cellStyle name="Normal 2 2 6 2 2 4" xfId="4545"/>
    <cellStyle name="Normal 2 2 6 2 3" xfId="4546"/>
    <cellStyle name="Normal 2 2 6 2 3 2" xfId="4547"/>
    <cellStyle name="Normal 2 2 6 2 3 2 2" xfId="4548"/>
    <cellStyle name="Normal 2 2 6 2 3 3" xfId="4549"/>
    <cellStyle name="Normal 2 2 6 2 4" xfId="4550"/>
    <cellStyle name="Normal 2 2 6 2 4 2" xfId="4551"/>
    <cellStyle name="Normal 2 2 6 2 5" xfId="4552"/>
    <cellStyle name="Normal 2 2 6 3" xfId="4553"/>
    <cellStyle name="Normal 2 2 6 3 2" xfId="4554"/>
    <cellStyle name="Normal 2 2 6 3 2 2" xfId="4555"/>
    <cellStyle name="Normal 2 2 6 3 2 2 2" xfId="4556"/>
    <cellStyle name="Normal 2 2 6 3 2 3" xfId="4557"/>
    <cellStyle name="Normal 2 2 6 3 3" xfId="4558"/>
    <cellStyle name="Normal 2 2 6 3 3 2" xfId="4559"/>
    <cellStyle name="Normal 2 2 6 3 4" xfId="4560"/>
    <cellStyle name="Normal 2 2 6 3 4 2" xfId="4561"/>
    <cellStyle name="Normal 2 2 6 3 5" xfId="4562"/>
    <cellStyle name="Normal 2 2 6 4" xfId="4563"/>
    <cellStyle name="Normal 2 2 6 4 2" xfId="4564"/>
    <cellStyle name="Normal 2 2 6 4 2 2" xfId="4565"/>
    <cellStyle name="Normal 2 2 6 4 3" xfId="4566"/>
    <cellStyle name="Normal 2 2 6 5" xfId="4567"/>
    <cellStyle name="Normal 2 2 6 5 2" xfId="4568"/>
    <cellStyle name="Normal 2 2 6 6" xfId="4569"/>
    <cellStyle name="Normal 2 2 7" xfId="4570"/>
    <cellStyle name="Normal 2 2 7 2" xfId="4571"/>
    <cellStyle name="Normal 2 2 7 2 2" xfId="4572"/>
    <cellStyle name="Normal 2 2 7 2 2 2" xfId="4573"/>
    <cellStyle name="Normal 2 2 7 2 3" xfId="4574"/>
    <cellStyle name="Normal 2 2 7 2 3 2" xfId="4575"/>
    <cellStyle name="Normal 2 2 7 2 4" xfId="4576"/>
    <cellStyle name="Normal 2 2 7 3" xfId="4577"/>
    <cellStyle name="Normal 2 2 7 3 2" xfId="4578"/>
    <cellStyle name="Normal 2 2 7 3 2 2" xfId="4579"/>
    <cellStyle name="Normal 2 2 7 3 3" xfId="4580"/>
    <cellStyle name="Normal 2 2 7 4" xfId="4581"/>
    <cellStyle name="Normal 2 2 7 4 2" xfId="4582"/>
    <cellStyle name="Normal 2 2 7 5" xfId="4583"/>
    <cellStyle name="Normal 2 2 8" xfId="4584"/>
    <cellStyle name="Normal 2 2 8 2" xfId="4585"/>
    <cellStyle name="Normal 2 2 8 2 2" xfId="4586"/>
    <cellStyle name="Normal 2 2 8 2 2 2" xfId="4587"/>
    <cellStyle name="Normal 2 2 8 2 3" xfId="4588"/>
    <cellStyle name="Normal 2 2 8 3" xfId="4589"/>
    <cellStyle name="Normal 2 2 8 3 2" xfId="4590"/>
    <cellStyle name="Normal 2 2 8 4" xfId="4591"/>
    <cellStyle name="Normal 2 2 9" xfId="4592"/>
    <cellStyle name="Normal 2 2 9 2" xfId="4593"/>
    <cellStyle name="Normal 2 2 9 2 2" xfId="4594"/>
    <cellStyle name="Normal 2 2 9 2 2 2" xfId="4595"/>
    <cellStyle name="Normal 2 2 9 2 3" xfId="4596"/>
    <cellStyle name="Normal 2 2 9 3" xfId="4597"/>
    <cellStyle name="Normal 2 2 9 3 2" xfId="4598"/>
    <cellStyle name="Normal 2 2 9 4" xfId="4599"/>
    <cellStyle name="Normal 2 3" xfId="28"/>
    <cellStyle name="Normal 2 3 10" xfId="4600"/>
    <cellStyle name="Normal 2 3 10 2" xfId="4601"/>
    <cellStyle name="Normal 2 3 11" xfId="4602"/>
    <cellStyle name="Normal 2 3 11 2" xfId="4603"/>
    <cellStyle name="Normal 2 3 12" xfId="4604"/>
    <cellStyle name="Normal 2 3 13" xfId="4605"/>
    <cellStyle name="Normal 2 3 14" xfId="4606"/>
    <cellStyle name="Normal 2 3 15" xfId="8897"/>
    <cellStyle name="Normal 2 3 16" xfId="8957"/>
    <cellStyle name="Normal 2 3 2" xfId="4607"/>
    <cellStyle name="Normal 2 3 2 10" xfId="4608"/>
    <cellStyle name="Normal 2 3 2 10 2" xfId="4609"/>
    <cellStyle name="Normal 2 3 2 11" xfId="4610"/>
    <cellStyle name="Normal 2 3 2 2" xfId="4611"/>
    <cellStyle name="Normal 2 3 2 2 10" xfId="4612"/>
    <cellStyle name="Normal 2 3 2 2 2" xfId="4613"/>
    <cellStyle name="Normal 2 3 2 2 2 2" xfId="4614"/>
    <cellStyle name="Normal 2 3 2 2 2 2 2" xfId="4615"/>
    <cellStyle name="Normal 2 3 2 2 2 2 2 2" xfId="4616"/>
    <cellStyle name="Normal 2 3 2 2 2 2 2 2 2" xfId="4617"/>
    <cellStyle name="Normal 2 3 2 2 2 2 2 2 2 2" xfId="4618"/>
    <cellStyle name="Normal 2 3 2 2 2 2 2 2 3" xfId="4619"/>
    <cellStyle name="Normal 2 3 2 2 2 2 2 2 3 2" xfId="4620"/>
    <cellStyle name="Normal 2 3 2 2 2 2 2 2 4" xfId="4621"/>
    <cellStyle name="Normal 2 3 2 2 2 2 2 3" xfId="4622"/>
    <cellStyle name="Normal 2 3 2 2 2 2 2 3 2" xfId="4623"/>
    <cellStyle name="Normal 2 3 2 2 2 2 2 3 2 2" xfId="4624"/>
    <cellStyle name="Normal 2 3 2 2 2 2 2 3 3" xfId="4625"/>
    <cellStyle name="Normal 2 3 2 2 2 2 2 4" xfId="4626"/>
    <cellStyle name="Normal 2 3 2 2 2 2 2 4 2" xfId="4627"/>
    <cellStyle name="Normal 2 3 2 2 2 2 2 5" xfId="4628"/>
    <cellStyle name="Normal 2 3 2 2 2 2 3" xfId="4629"/>
    <cellStyle name="Normal 2 3 2 2 2 2 3 2" xfId="4630"/>
    <cellStyle name="Normal 2 3 2 2 2 2 3 2 2" xfId="4631"/>
    <cellStyle name="Normal 2 3 2 2 2 2 3 2 2 2" xfId="4632"/>
    <cellStyle name="Normal 2 3 2 2 2 2 3 2 3" xfId="4633"/>
    <cellStyle name="Normal 2 3 2 2 2 2 3 3" xfId="4634"/>
    <cellStyle name="Normal 2 3 2 2 2 2 3 3 2" xfId="4635"/>
    <cellStyle name="Normal 2 3 2 2 2 2 3 4" xfId="4636"/>
    <cellStyle name="Normal 2 3 2 2 2 2 3 4 2" xfId="4637"/>
    <cellStyle name="Normal 2 3 2 2 2 2 3 5" xfId="4638"/>
    <cellStyle name="Normal 2 3 2 2 2 2 4" xfId="4639"/>
    <cellStyle name="Normal 2 3 2 2 2 2 4 2" xfId="4640"/>
    <cellStyle name="Normal 2 3 2 2 2 2 4 2 2" xfId="4641"/>
    <cellStyle name="Normal 2 3 2 2 2 2 4 3" xfId="4642"/>
    <cellStyle name="Normal 2 3 2 2 2 2 5" xfId="4643"/>
    <cellStyle name="Normal 2 3 2 2 2 2 5 2" xfId="4644"/>
    <cellStyle name="Normal 2 3 2 2 2 2 6" xfId="4645"/>
    <cellStyle name="Normal 2 3 2 2 2 3" xfId="4646"/>
    <cellStyle name="Normal 2 3 2 2 2 3 2" xfId="4647"/>
    <cellStyle name="Normal 2 3 2 2 2 3 2 2" xfId="4648"/>
    <cellStyle name="Normal 2 3 2 2 2 3 2 2 2" xfId="4649"/>
    <cellStyle name="Normal 2 3 2 2 2 3 2 3" xfId="4650"/>
    <cellStyle name="Normal 2 3 2 2 2 3 2 3 2" xfId="4651"/>
    <cellStyle name="Normal 2 3 2 2 2 3 2 4" xfId="4652"/>
    <cellStyle name="Normal 2 3 2 2 2 3 3" xfId="4653"/>
    <cellStyle name="Normal 2 3 2 2 2 3 3 2" xfId="4654"/>
    <cellStyle name="Normal 2 3 2 2 2 3 3 2 2" xfId="4655"/>
    <cellStyle name="Normal 2 3 2 2 2 3 3 3" xfId="4656"/>
    <cellStyle name="Normal 2 3 2 2 2 3 4" xfId="4657"/>
    <cellStyle name="Normal 2 3 2 2 2 3 4 2" xfId="4658"/>
    <cellStyle name="Normal 2 3 2 2 2 3 5" xfId="4659"/>
    <cellStyle name="Normal 2 3 2 2 2 4" xfId="4660"/>
    <cellStyle name="Normal 2 3 2 2 2 4 2" xfId="4661"/>
    <cellStyle name="Normal 2 3 2 2 2 4 2 2" xfId="4662"/>
    <cellStyle name="Normal 2 3 2 2 2 4 2 2 2" xfId="4663"/>
    <cellStyle name="Normal 2 3 2 2 2 4 2 3" xfId="4664"/>
    <cellStyle name="Normal 2 3 2 2 2 4 3" xfId="4665"/>
    <cellStyle name="Normal 2 3 2 2 2 4 3 2" xfId="4666"/>
    <cellStyle name="Normal 2 3 2 2 2 4 4" xfId="4667"/>
    <cellStyle name="Normal 2 3 2 2 2 5" xfId="4668"/>
    <cellStyle name="Normal 2 3 2 2 2 5 2" xfId="4669"/>
    <cellStyle name="Normal 2 3 2 2 2 5 2 2" xfId="4670"/>
    <cellStyle name="Normal 2 3 2 2 2 5 2 2 2" xfId="4671"/>
    <cellStyle name="Normal 2 3 2 2 2 5 2 3" xfId="4672"/>
    <cellStyle name="Normal 2 3 2 2 2 5 3" xfId="4673"/>
    <cellStyle name="Normal 2 3 2 2 2 5 3 2" xfId="4674"/>
    <cellStyle name="Normal 2 3 2 2 2 5 4" xfId="4675"/>
    <cellStyle name="Normal 2 3 2 2 2 5 4 2" xfId="4676"/>
    <cellStyle name="Normal 2 3 2 2 2 5 5" xfId="4677"/>
    <cellStyle name="Normal 2 3 2 2 2 6" xfId="4678"/>
    <cellStyle name="Normal 2 3 2 2 2 6 2" xfId="4679"/>
    <cellStyle name="Normal 2 3 2 2 2 6 2 2" xfId="4680"/>
    <cellStyle name="Normal 2 3 2 2 2 6 3" xfId="4681"/>
    <cellStyle name="Normal 2 3 2 2 2 7" xfId="4682"/>
    <cellStyle name="Normal 2 3 2 2 2 7 2" xfId="4683"/>
    <cellStyle name="Normal 2 3 2 2 2 8" xfId="4684"/>
    <cellStyle name="Normal 2 3 2 2 3" xfId="4685"/>
    <cellStyle name="Normal 2 3 2 2 3 2" xfId="4686"/>
    <cellStyle name="Normal 2 3 2 2 3 2 2" xfId="4687"/>
    <cellStyle name="Normal 2 3 2 2 3 2 2 2" xfId="4688"/>
    <cellStyle name="Normal 2 3 2 2 3 2 2 2 2" xfId="4689"/>
    <cellStyle name="Normal 2 3 2 2 3 2 2 3" xfId="4690"/>
    <cellStyle name="Normal 2 3 2 2 3 2 2 3 2" xfId="4691"/>
    <cellStyle name="Normal 2 3 2 2 3 2 2 4" xfId="4692"/>
    <cellStyle name="Normal 2 3 2 2 3 2 3" xfId="4693"/>
    <cellStyle name="Normal 2 3 2 2 3 2 3 2" xfId="4694"/>
    <cellStyle name="Normal 2 3 2 2 3 2 3 2 2" xfId="4695"/>
    <cellStyle name="Normal 2 3 2 2 3 2 3 3" xfId="4696"/>
    <cellStyle name="Normal 2 3 2 2 3 2 4" xfId="4697"/>
    <cellStyle name="Normal 2 3 2 2 3 2 4 2" xfId="4698"/>
    <cellStyle name="Normal 2 3 2 2 3 2 5" xfId="4699"/>
    <cellStyle name="Normal 2 3 2 2 3 3" xfId="4700"/>
    <cellStyle name="Normal 2 3 2 2 3 3 2" xfId="4701"/>
    <cellStyle name="Normal 2 3 2 2 3 3 2 2" xfId="4702"/>
    <cellStyle name="Normal 2 3 2 2 3 3 2 2 2" xfId="4703"/>
    <cellStyle name="Normal 2 3 2 2 3 3 2 3" xfId="4704"/>
    <cellStyle name="Normal 2 3 2 2 3 3 3" xfId="4705"/>
    <cellStyle name="Normal 2 3 2 2 3 3 3 2" xfId="4706"/>
    <cellStyle name="Normal 2 3 2 2 3 3 4" xfId="4707"/>
    <cellStyle name="Normal 2 3 2 2 3 3 4 2" xfId="4708"/>
    <cellStyle name="Normal 2 3 2 2 3 3 5" xfId="4709"/>
    <cellStyle name="Normal 2 3 2 2 3 4" xfId="4710"/>
    <cellStyle name="Normal 2 3 2 2 3 4 2" xfId="4711"/>
    <cellStyle name="Normal 2 3 2 2 3 4 2 2" xfId="4712"/>
    <cellStyle name="Normal 2 3 2 2 3 4 3" xfId="4713"/>
    <cellStyle name="Normal 2 3 2 2 3 5" xfId="4714"/>
    <cellStyle name="Normal 2 3 2 2 3 5 2" xfId="4715"/>
    <cellStyle name="Normal 2 3 2 2 3 6" xfId="4716"/>
    <cellStyle name="Normal 2 3 2 2 4" xfId="4717"/>
    <cellStyle name="Normal 2 3 2 2 4 2" xfId="4718"/>
    <cellStyle name="Normal 2 3 2 2 4 2 2" xfId="4719"/>
    <cellStyle name="Normal 2 3 2 2 4 2 2 2" xfId="4720"/>
    <cellStyle name="Normal 2 3 2 2 4 2 3" xfId="4721"/>
    <cellStyle name="Normal 2 3 2 2 4 2 3 2" xfId="4722"/>
    <cellStyle name="Normal 2 3 2 2 4 2 4" xfId="4723"/>
    <cellStyle name="Normal 2 3 2 2 4 3" xfId="4724"/>
    <cellStyle name="Normal 2 3 2 2 4 3 2" xfId="4725"/>
    <cellStyle name="Normal 2 3 2 2 4 3 2 2" xfId="4726"/>
    <cellStyle name="Normal 2 3 2 2 4 3 3" xfId="4727"/>
    <cellStyle name="Normal 2 3 2 2 4 4" xfId="4728"/>
    <cellStyle name="Normal 2 3 2 2 4 4 2" xfId="4729"/>
    <cellStyle name="Normal 2 3 2 2 4 5" xfId="4730"/>
    <cellStyle name="Normal 2 3 2 2 5" xfId="4731"/>
    <cellStyle name="Normal 2 3 2 2 5 2" xfId="4732"/>
    <cellStyle name="Normal 2 3 2 2 5 2 2" xfId="4733"/>
    <cellStyle name="Normal 2 3 2 2 5 2 2 2" xfId="4734"/>
    <cellStyle name="Normal 2 3 2 2 5 2 3" xfId="4735"/>
    <cellStyle name="Normal 2 3 2 2 5 3" xfId="4736"/>
    <cellStyle name="Normal 2 3 2 2 5 3 2" xfId="4737"/>
    <cellStyle name="Normal 2 3 2 2 5 4" xfId="4738"/>
    <cellStyle name="Normal 2 3 2 2 6" xfId="4739"/>
    <cellStyle name="Normal 2 3 2 2 6 2" xfId="4740"/>
    <cellStyle name="Normal 2 3 2 2 6 2 2" xfId="4741"/>
    <cellStyle name="Normal 2 3 2 2 6 2 2 2" xfId="4742"/>
    <cellStyle name="Normal 2 3 2 2 6 2 3" xfId="4743"/>
    <cellStyle name="Normal 2 3 2 2 6 3" xfId="4744"/>
    <cellStyle name="Normal 2 3 2 2 6 3 2" xfId="4745"/>
    <cellStyle name="Normal 2 3 2 2 6 4" xfId="4746"/>
    <cellStyle name="Normal 2 3 2 2 7" xfId="4747"/>
    <cellStyle name="Normal 2 3 2 2 7 2" xfId="4748"/>
    <cellStyle name="Normal 2 3 2 2 7 2 2" xfId="4749"/>
    <cellStyle name="Normal 2 3 2 2 7 3" xfId="4750"/>
    <cellStyle name="Normal 2 3 2 2 8" xfId="4751"/>
    <cellStyle name="Normal 2 3 2 2 8 2" xfId="4752"/>
    <cellStyle name="Normal 2 3 2 2 9" xfId="4753"/>
    <cellStyle name="Normal 2 3 2 2 9 2" xfId="4754"/>
    <cellStyle name="Normal 2 3 2 3" xfId="4755"/>
    <cellStyle name="Normal 2 3 2 3 2" xfId="4756"/>
    <cellStyle name="Normal 2 3 2 3 2 2" xfId="4757"/>
    <cellStyle name="Normal 2 3 2 3 2 2 2" xfId="4758"/>
    <cellStyle name="Normal 2 3 2 3 2 2 2 2" xfId="4759"/>
    <cellStyle name="Normal 2 3 2 3 2 2 2 2 2" xfId="4760"/>
    <cellStyle name="Normal 2 3 2 3 2 2 2 3" xfId="4761"/>
    <cellStyle name="Normal 2 3 2 3 2 2 2 3 2" xfId="4762"/>
    <cellStyle name="Normal 2 3 2 3 2 2 2 4" xfId="4763"/>
    <cellStyle name="Normal 2 3 2 3 2 2 3" xfId="4764"/>
    <cellStyle name="Normal 2 3 2 3 2 2 3 2" xfId="4765"/>
    <cellStyle name="Normal 2 3 2 3 2 2 3 2 2" xfId="4766"/>
    <cellStyle name="Normal 2 3 2 3 2 2 3 3" xfId="4767"/>
    <cellStyle name="Normal 2 3 2 3 2 2 4" xfId="4768"/>
    <cellStyle name="Normal 2 3 2 3 2 2 4 2" xfId="4769"/>
    <cellStyle name="Normal 2 3 2 3 2 2 5" xfId="4770"/>
    <cellStyle name="Normal 2 3 2 3 2 3" xfId="4771"/>
    <cellStyle name="Normal 2 3 2 3 2 3 2" xfId="4772"/>
    <cellStyle name="Normal 2 3 2 3 2 3 2 2" xfId="4773"/>
    <cellStyle name="Normal 2 3 2 3 2 3 2 2 2" xfId="4774"/>
    <cellStyle name="Normal 2 3 2 3 2 3 2 3" xfId="4775"/>
    <cellStyle name="Normal 2 3 2 3 2 3 3" xfId="4776"/>
    <cellStyle name="Normal 2 3 2 3 2 3 3 2" xfId="4777"/>
    <cellStyle name="Normal 2 3 2 3 2 3 4" xfId="4778"/>
    <cellStyle name="Normal 2 3 2 3 2 3 4 2" xfId="4779"/>
    <cellStyle name="Normal 2 3 2 3 2 3 5" xfId="4780"/>
    <cellStyle name="Normal 2 3 2 3 2 4" xfId="4781"/>
    <cellStyle name="Normal 2 3 2 3 2 4 2" xfId="4782"/>
    <cellStyle name="Normal 2 3 2 3 2 4 2 2" xfId="4783"/>
    <cellStyle name="Normal 2 3 2 3 2 4 3" xfId="4784"/>
    <cellStyle name="Normal 2 3 2 3 2 5" xfId="4785"/>
    <cellStyle name="Normal 2 3 2 3 2 5 2" xfId="4786"/>
    <cellStyle name="Normal 2 3 2 3 2 6" xfId="4787"/>
    <cellStyle name="Normal 2 3 2 3 3" xfId="4788"/>
    <cellStyle name="Normal 2 3 2 3 3 2" xfId="4789"/>
    <cellStyle name="Normal 2 3 2 3 3 2 2" xfId="4790"/>
    <cellStyle name="Normal 2 3 2 3 3 2 2 2" xfId="4791"/>
    <cellStyle name="Normal 2 3 2 3 3 2 3" xfId="4792"/>
    <cellStyle name="Normal 2 3 2 3 3 2 3 2" xfId="4793"/>
    <cellStyle name="Normal 2 3 2 3 3 2 4" xfId="4794"/>
    <cellStyle name="Normal 2 3 2 3 3 3" xfId="4795"/>
    <cellStyle name="Normal 2 3 2 3 3 3 2" xfId="4796"/>
    <cellStyle name="Normal 2 3 2 3 3 3 2 2" xfId="4797"/>
    <cellStyle name="Normal 2 3 2 3 3 3 3" xfId="4798"/>
    <cellStyle name="Normal 2 3 2 3 3 4" xfId="4799"/>
    <cellStyle name="Normal 2 3 2 3 3 4 2" xfId="4800"/>
    <cellStyle name="Normal 2 3 2 3 3 5" xfId="4801"/>
    <cellStyle name="Normal 2 3 2 3 4" xfId="4802"/>
    <cellStyle name="Normal 2 3 2 3 4 2" xfId="4803"/>
    <cellStyle name="Normal 2 3 2 3 4 2 2" xfId="4804"/>
    <cellStyle name="Normal 2 3 2 3 4 2 2 2" xfId="4805"/>
    <cellStyle name="Normal 2 3 2 3 4 2 3" xfId="4806"/>
    <cellStyle name="Normal 2 3 2 3 4 3" xfId="4807"/>
    <cellStyle name="Normal 2 3 2 3 4 3 2" xfId="4808"/>
    <cellStyle name="Normal 2 3 2 3 4 4" xfId="4809"/>
    <cellStyle name="Normal 2 3 2 3 5" xfId="4810"/>
    <cellStyle name="Normal 2 3 2 3 5 2" xfId="4811"/>
    <cellStyle name="Normal 2 3 2 3 5 2 2" xfId="4812"/>
    <cellStyle name="Normal 2 3 2 3 5 2 2 2" xfId="4813"/>
    <cellStyle name="Normal 2 3 2 3 5 2 3" xfId="4814"/>
    <cellStyle name="Normal 2 3 2 3 5 3" xfId="4815"/>
    <cellStyle name="Normal 2 3 2 3 5 3 2" xfId="4816"/>
    <cellStyle name="Normal 2 3 2 3 5 4" xfId="4817"/>
    <cellStyle name="Normal 2 3 2 3 5 4 2" xfId="4818"/>
    <cellStyle name="Normal 2 3 2 3 5 5" xfId="4819"/>
    <cellStyle name="Normal 2 3 2 3 6" xfId="4820"/>
    <cellStyle name="Normal 2 3 2 3 6 2" xfId="4821"/>
    <cellStyle name="Normal 2 3 2 3 6 2 2" xfId="4822"/>
    <cellStyle name="Normal 2 3 2 3 6 3" xfId="4823"/>
    <cellStyle name="Normal 2 3 2 3 7" xfId="4824"/>
    <cellStyle name="Normal 2 3 2 3 7 2" xfId="4825"/>
    <cellStyle name="Normal 2 3 2 3 8" xfId="4826"/>
    <cellStyle name="Normal 2 3 2 4" xfId="4827"/>
    <cellStyle name="Normal 2 3 2 4 2" xfId="4828"/>
    <cellStyle name="Normal 2 3 2 4 2 2" xfId="4829"/>
    <cellStyle name="Normal 2 3 2 4 2 2 2" xfId="4830"/>
    <cellStyle name="Normal 2 3 2 4 2 2 2 2" xfId="4831"/>
    <cellStyle name="Normal 2 3 2 4 2 2 3" xfId="4832"/>
    <cellStyle name="Normal 2 3 2 4 2 2 3 2" xfId="4833"/>
    <cellStyle name="Normal 2 3 2 4 2 2 4" xfId="4834"/>
    <cellStyle name="Normal 2 3 2 4 2 3" xfId="4835"/>
    <cellStyle name="Normal 2 3 2 4 2 3 2" xfId="4836"/>
    <cellStyle name="Normal 2 3 2 4 2 3 2 2" xfId="4837"/>
    <cellStyle name="Normal 2 3 2 4 2 3 3" xfId="4838"/>
    <cellStyle name="Normal 2 3 2 4 2 4" xfId="4839"/>
    <cellStyle name="Normal 2 3 2 4 2 4 2" xfId="4840"/>
    <cellStyle name="Normal 2 3 2 4 2 5" xfId="4841"/>
    <cellStyle name="Normal 2 3 2 4 3" xfId="4842"/>
    <cellStyle name="Normal 2 3 2 4 3 2" xfId="4843"/>
    <cellStyle name="Normal 2 3 2 4 3 2 2" xfId="4844"/>
    <cellStyle name="Normal 2 3 2 4 3 2 2 2" xfId="4845"/>
    <cellStyle name="Normal 2 3 2 4 3 2 3" xfId="4846"/>
    <cellStyle name="Normal 2 3 2 4 3 3" xfId="4847"/>
    <cellStyle name="Normal 2 3 2 4 3 3 2" xfId="4848"/>
    <cellStyle name="Normal 2 3 2 4 3 4" xfId="4849"/>
    <cellStyle name="Normal 2 3 2 4 3 4 2" xfId="4850"/>
    <cellStyle name="Normal 2 3 2 4 3 5" xfId="4851"/>
    <cellStyle name="Normal 2 3 2 4 4" xfId="4852"/>
    <cellStyle name="Normal 2 3 2 4 4 2" xfId="4853"/>
    <cellStyle name="Normal 2 3 2 4 4 2 2" xfId="4854"/>
    <cellStyle name="Normal 2 3 2 4 4 3" xfId="4855"/>
    <cellStyle name="Normal 2 3 2 4 5" xfId="4856"/>
    <cellStyle name="Normal 2 3 2 4 5 2" xfId="4857"/>
    <cellStyle name="Normal 2 3 2 4 6" xfId="4858"/>
    <cellStyle name="Normal 2 3 2 5" xfId="4859"/>
    <cellStyle name="Normal 2 3 2 5 2" xfId="4860"/>
    <cellStyle name="Normal 2 3 2 5 2 2" xfId="4861"/>
    <cellStyle name="Normal 2 3 2 5 2 2 2" xfId="4862"/>
    <cellStyle name="Normal 2 3 2 5 2 3" xfId="4863"/>
    <cellStyle name="Normal 2 3 2 5 2 3 2" xfId="4864"/>
    <cellStyle name="Normal 2 3 2 5 2 4" xfId="4865"/>
    <cellStyle name="Normal 2 3 2 5 3" xfId="4866"/>
    <cellStyle name="Normal 2 3 2 5 3 2" xfId="4867"/>
    <cellStyle name="Normal 2 3 2 5 3 2 2" xfId="4868"/>
    <cellStyle name="Normal 2 3 2 5 3 3" xfId="4869"/>
    <cellStyle name="Normal 2 3 2 5 4" xfId="4870"/>
    <cellStyle name="Normal 2 3 2 5 4 2" xfId="4871"/>
    <cellStyle name="Normal 2 3 2 5 5" xfId="4872"/>
    <cellStyle name="Normal 2 3 2 6" xfId="4873"/>
    <cellStyle name="Normal 2 3 2 6 2" xfId="4874"/>
    <cellStyle name="Normal 2 3 2 6 2 2" xfId="4875"/>
    <cellStyle name="Normal 2 3 2 6 2 2 2" xfId="4876"/>
    <cellStyle name="Normal 2 3 2 6 2 3" xfId="4877"/>
    <cellStyle name="Normal 2 3 2 6 3" xfId="4878"/>
    <cellStyle name="Normal 2 3 2 6 3 2" xfId="4879"/>
    <cellStyle name="Normal 2 3 2 6 4" xfId="4880"/>
    <cellStyle name="Normal 2 3 2 7" xfId="4881"/>
    <cellStyle name="Normal 2 3 2 7 2" xfId="4882"/>
    <cellStyle name="Normal 2 3 2 7 2 2" xfId="4883"/>
    <cellStyle name="Normal 2 3 2 7 2 2 2" xfId="4884"/>
    <cellStyle name="Normal 2 3 2 7 2 3" xfId="4885"/>
    <cellStyle name="Normal 2 3 2 7 3" xfId="4886"/>
    <cellStyle name="Normal 2 3 2 7 3 2" xfId="4887"/>
    <cellStyle name="Normal 2 3 2 7 4" xfId="4888"/>
    <cellStyle name="Normal 2 3 2 8" xfId="4889"/>
    <cellStyle name="Normal 2 3 2 8 2" xfId="4890"/>
    <cellStyle name="Normal 2 3 2 8 2 2" xfId="4891"/>
    <cellStyle name="Normal 2 3 2 8 3" xfId="4892"/>
    <cellStyle name="Normal 2 3 2 9" xfId="4893"/>
    <cellStyle name="Normal 2 3 2 9 2" xfId="4894"/>
    <cellStyle name="Normal 2 3 3" xfId="4895"/>
    <cellStyle name="Normal 2 3 3 10" xfId="4896"/>
    <cellStyle name="Normal 2 3 3 11" xfId="9018"/>
    <cellStyle name="Normal 2 3 3 2" xfId="4897"/>
    <cellStyle name="Normal 2 3 3 2 2" xfId="4898"/>
    <cellStyle name="Normal 2 3 3 2 2 2" xfId="4899"/>
    <cellStyle name="Normal 2 3 3 2 2 2 2" xfId="4900"/>
    <cellStyle name="Normal 2 3 3 2 2 2 2 2" xfId="4901"/>
    <cellStyle name="Normal 2 3 3 2 2 2 2 2 2" xfId="4902"/>
    <cellStyle name="Normal 2 3 3 2 2 2 2 3" xfId="4903"/>
    <cellStyle name="Normal 2 3 3 2 2 2 2 3 2" xfId="4904"/>
    <cellStyle name="Normal 2 3 3 2 2 2 2 4" xfId="4905"/>
    <cellStyle name="Normal 2 3 3 2 2 2 3" xfId="4906"/>
    <cellStyle name="Normal 2 3 3 2 2 2 3 2" xfId="4907"/>
    <cellStyle name="Normal 2 3 3 2 2 2 3 2 2" xfId="4908"/>
    <cellStyle name="Normal 2 3 3 2 2 2 3 3" xfId="4909"/>
    <cellStyle name="Normal 2 3 3 2 2 2 4" xfId="4910"/>
    <cellStyle name="Normal 2 3 3 2 2 2 4 2" xfId="4911"/>
    <cellStyle name="Normal 2 3 3 2 2 2 5" xfId="4912"/>
    <cellStyle name="Normal 2 3 3 2 2 3" xfId="4913"/>
    <cellStyle name="Normal 2 3 3 2 2 3 2" xfId="4914"/>
    <cellStyle name="Normal 2 3 3 2 2 3 2 2" xfId="4915"/>
    <cellStyle name="Normal 2 3 3 2 2 3 2 2 2" xfId="4916"/>
    <cellStyle name="Normal 2 3 3 2 2 3 2 3" xfId="4917"/>
    <cellStyle name="Normal 2 3 3 2 2 3 3" xfId="4918"/>
    <cellStyle name="Normal 2 3 3 2 2 3 3 2" xfId="4919"/>
    <cellStyle name="Normal 2 3 3 2 2 3 4" xfId="4920"/>
    <cellStyle name="Normal 2 3 3 2 2 3 4 2" xfId="4921"/>
    <cellStyle name="Normal 2 3 3 2 2 3 5" xfId="4922"/>
    <cellStyle name="Normal 2 3 3 2 2 4" xfId="4923"/>
    <cellStyle name="Normal 2 3 3 2 2 4 2" xfId="4924"/>
    <cellStyle name="Normal 2 3 3 2 2 4 2 2" xfId="4925"/>
    <cellStyle name="Normal 2 3 3 2 2 4 3" xfId="4926"/>
    <cellStyle name="Normal 2 3 3 2 2 5" xfId="4927"/>
    <cellStyle name="Normal 2 3 3 2 2 5 2" xfId="4928"/>
    <cellStyle name="Normal 2 3 3 2 2 6" xfId="4929"/>
    <cellStyle name="Normal 2 3 3 2 3" xfId="4930"/>
    <cellStyle name="Normal 2 3 3 2 3 2" xfId="4931"/>
    <cellStyle name="Normal 2 3 3 2 3 2 2" xfId="4932"/>
    <cellStyle name="Normal 2 3 3 2 3 2 2 2" xfId="4933"/>
    <cellStyle name="Normal 2 3 3 2 3 2 3" xfId="4934"/>
    <cellStyle name="Normal 2 3 3 2 3 2 3 2" xfId="4935"/>
    <cellStyle name="Normal 2 3 3 2 3 2 4" xfId="4936"/>
    <cellStyle name="Normal 2 3 3 2 3 3" xfId="4937"/>
    <cellStyle name="Normal 2 3 3 2 3 3 2" xfId="4938"/>
    <cellStyle name="Normal 2 3 3 2 3 3 2 2" xfId="4939"/>
    <cellStyle name="Normal 2 3 3 2 3 3 3" xfId="4940"/>
    <cellStyle name="Normal 2 3 3 2 3 4" xfId="4941"/>
    <cellStyle name="Normal 2 3 3 2 3 4 2" xfId="4942"/>
    <cellStyle name="Normal 2 3 3 2 3 5" xfId="4943"/>
    <cellStyle name="Normal 2 3 3 2 4" xfId="4944"/>
    <cellStyle name="Normal 2 3 3 2 4 2" xfId="4945"/>
    <cellStyle name="Normal 2 3 3 2 4 2 2" xfId="4946"/>
    <cellStyle name="Normal 2 3 3 2 4 2 2 2" xfId="4947"/>
    <cellStyle name="Normal 2 3 3 2 4 2 3" xfId="4948"/>
    <cellStyle name="Normal 2 3 3 2 4 3" xfId="4949"/>
    <cellStyle name="Normal 2 3 3 2 4 3 2" xfId="4950"/>
    <cellStyle name="Normal 2 3 3 2 4 4" xfId="4951"/>
    <cellStyle name="Normal 2 3 3 2 5" xfId="4952"/>
    <cellStyle name="Normal 2 3 3 2 5 2" xfId="4953"/>
    <cellStyle name="Normal 2 3 3 2 5 2 2" xfId="4954"/>
    <cellStyle name="Normal 2 3 3 2 5 2 2 2" xfId="4955"/>
    <cellStyle name="Normal 2 3 3 2 5 2 3" xfId="4956"/>
    <cellStyle name="Normal 2 3 3 2 5 3" xfId="4957"/>
    <cellStyle name="Normal 2 3 3 2 5 3 2" xfId="4958"/>
    <cellStyle name="Normal 2 3 3 2 5 4" xfId="4959"/>
    <cellStyle name="Normal 2 3 3 2 5 4 2" xfId="4960"/>
    <cellStyle name="Normal 2 3 3 2 5 5" xfId="4961"/>
    <cellStyle name="Normal 2 3 3 2 6" xfId="4962"/>
    <cellStyle name="Normal 2 3 3 2 6 2" xfId="4963"/>
    <cellStyle name="Normal 2 3 3 2 6 2 2" xfId="4964"/>
    <cellStyle name="Normal 2 3 3 2 6 3" xfId="4965"/>
    <cellStyle name="Normal 2 3 3 2 7" xfId="4966"/>
    <cellStyle name="Normal 2 3 3 2 7 2" xfId="4967"/>
    <cellStyle name="Normal 2 3 3 2 8" xfId="4968"/>
    <cellStyle name="Normal 2 3 3 3" xfId="4969"/>
    <cellStyle name="Normal 2 3 3 3 2" xfId="4970"/>
    <cellStyle name="Normal 2 3 3 3 2 2" xfId="4971"/>
    <cellStyle name="Normal 2 3 3 3 2 2 2" xfId="4972"/>
    <cellStyle name="Normal 2 3 3 3 2 2 2 2" xfId="4973"/>
    <cellStyle name="Normal 2 3 3 3 2 2 3" xfId="4974"/>
    <cellStyle name="Normal 2 3 3 3 2 2 3 2" xfId="4975"/>
    <cellStyle name="Normal 2 3 3 3 2 2 4" xfId="4976"/>
    <cellStyle name="Normal 2 3 3 3 2 3" xfId="4977"/>
    <cellStyle name="Normal 2 3 3 3 2 3 2" xfId="4978"/>
    <cellStyle name="Normal 2 3 3 3 2 3 2 2" xfId="4979"/>
    <cellStyle name="Normal 2 3 3 3 2 3 3" xfId="4980"/>
    <cellStyle name="Normal 2 3 3 3 2 4" xfId="4981"/>
    <cellStyle name="Normal 2 3 3 3 2 4 2" xfId="4982"/>
    <cellStyle name="Normal 2 3 3 3 2 5" xfId="4983"/>
    <cellStyle name="Normal 2 3 3 3 3" xfId="4984"/>
    <cellStyle name="Normal 2 3 3 3 3 2" xfId="4985"/>
    <cellStyle name="Normal 2 3 3 3 3 2 2" xfId="4986"/>
    <cellStyle name="Normal 2 3 3 3 3 2 2 2" xfId="4987"/>
    <cellStyle name="Normal 2 3 3 3 3 2 3" xfId="4988"/>
    <cellStyle name="Normal 2 3 3 3 3 3" xfId="4989"/>
    <cellStyle name="Normal 2 3 3 3 3 3 2" xfId="4990"/>
    <cellStyle name="Normal 2 3 3 3 3 4" xfId="4991"/>
    <cellStyle name="Normal 2 3 3 3 3 4 2" xfId="4992"/>
    <cellStyle name="Normal 2 3 3 3 3 5" xfId="4993"/>
    <cellStyle name="Normal 2 3 3 3 4" xfId="4994"/>
    <cellStyle name="Normal 2 3 3 3 4 2" xfId="4995"/>
    <cellStyle name="Normal 2 3 3 3 4 2 2" xfId="4996"/>
    <cellStyle name="Normal 2 3 3 3 4 3" xfId="4997"/>
    <cellStyle name="Normal 2 3 3 3 5" xfId="4998"/>
    <cellStyle name="Normal 2 3 3 3 5 2" xfId="4999"/>
    <cellStyle name="Normal 2 3 3 3 6" xfId="5000"/>
    <cellStyle name="Normal 2 3 3 4" xfId="5001"/>
    <cellStyle name="Normal 2 3 3 4 2" xfId="5002"/>
    <cellStyle name="Normal 2 3 3 4 2 2" xfId="5003"/>
    <cellStyle name="Normal 2 3 3 4 2 2 2" xfId="5004"/>
    <cellStyle name="Normal 2 3 3 4 2 3" xfId="5005"/>
    <cellStyle name="Normal 2 3 3 4 2 3 2" xfId="5006"/>
    <cellStyle name="Normal 2 3 3 4 2 4" xfId="5007"/>
    <cellStyle name="Normal 2 3 3 4 3" xfId="5008"/>
    <cellStyle name="Normal 2 3 3 4 3 2" xfId="5009"/>
    <cellStyle name="Normal 2 3 3 4 3 2 2" xfId="5010"/>
    <cellStyle name="Normal 2 3 3 4 3 3" xfId="5011"/>
    <cellStyle name="Normal 2 3 3 4 4" xfId="5012"/>
    <cellStyle name="Normal 2 3 3 4 4 2" xfId="5013"/>
    <cellStyle name="Normal 2 3 3 4 5" xfId="5014"/>
    <cellStyle name="Normal 2 3 3 5" xfId="5015"/>
    <cellStyle name="Normal 2 3 3 5 2" xfId="5016"/>
    <cellStyle name="Normal 2 3 3 5 2 2" xfId="5017"/>
    <cellStyle name="Normal 2 3 3 5 2 2 2" xfId="5018"/>
    <cellStyle name="Normal 2 3 3 5 2 3" xfId="5019"/>
    <cellStyle name="Normal 2 3 3 5 3" xfId="5020"/>
    <cellStyle name="Normal 2 3 3 5 3 2" xfId="5021"/>
    <cellStyle name="Normal 2 3 3 5 4" xfId="5022"/>
    <cellStyle name="Normal 2 3 3 6" xfId="5023"/>
    <cellStyle name="Normal 2 3 3 6 2" xfId="5024"/>
    <cellStyle name="Normal 2 3 3 6 2 2" xfId="5025"/>
    <cellStyle name="Normal 2 3 3 6 2 2 2" xfId="5026"/>
    <cellStyle name="Normal 2 3 3 6 2 3" xfId="5027"/>
    <cellStyle name="Normal 2 3 3 6 3" xfId="5028"/>
    <cellStyle name="Normal 2 3 3 6 3 2" xfId="5029"/>
    <cellStyle name="Normal 2 3 3 6 4" xfId="5030"/>
    <cellStyle name="Normal 2 3 3 7" xfId="5031"/>
    <cellStyle name="Normal 2 3 3 7 2" xfId="5032"/>
    <cellStyle name="Normal 2 3 3 7 2 2" xfId="5033"/>
    <cellStyle name="Normal 2 3 3 7 3" xfId="5034"/>
    <cellStyle name="Normal 2 3 3 8" xfId="5035"/>
    <cellStyle name="Normal 2 3 3 8 2" xfId="5036"/>
    <cellStyle name="Normal 2 3 3 9" xfId="5037"/>
    <cellStyle name="Normal 2 3 3 9 2" xfId="5038"/>
    <cellStyle name="Normal 2 3 4" xfId="5039"/>
    <cellStyle name="Normal 2 3 4 2" xfId="5040"/>
    <cellStyle name="Normal 2 3 4 2 2" xfId="5041"/>
    <cellStyle name="Normal 2 3 4 2 2 2" xfId="5042"/>
    <cellStyle name="Normal 2 3 4 2 2 2 2" xfId="5043"/>
    <cellStyle name="Normal 2 3 4 2 2 2 2 2" xfId="5044"/>
    <cellStyle name="Normal 2 3 4 2 2 2 3" xfId="5045"/>
    <cellStyle name="Normal 2 3 4 2 2 2 3 2" xfId="5046"/>
    <cellStyle name="Normal 2 3 4 2 2 2 4" xfId="5047"/>
    <cellStyle name="Normal 2 3 4 2 2 3" xfId="5048"/>
    <cellStyle name="Normal 2 3 4 2 2 3 2" xfId="5049"/>
    <cellStyle name="Normal 2 3 4 2 2 3 2 2" xfId="5050"/>
    <cellStyle name="Normal 2 3 4 2 2 3 3" xfId="5051"/>
    <cellStyle name="Normal 2 3 4 2 2 4" xfId="5052"/>
    <cellStyle name="Normal 2 3 4 2 2 4 2" xfId="5053"/>
    <cellStyle name="Normal 2 3 4 2 2 5" xfId="5054"/>
    <cellStyle name="Normal 2 3 4 2 3" xfId="5055"/>
    <cellStyle name="Normal 2 3 4 2 3 2" xfId="5056"/>
    <cellStyle name="Normal 2 3 4 2 3 2 2" xfId="5057"/>
    <cellStyle name="Normal 2 3 4 2 3 2 2 2" xfId="5058"/>
    <cellStyle name="Normal 2 3 4 2 3 2 3" xfId="5059"/>
    <cellStyle name="Normal 2 3 4 2 3 3" xfId="5060"/>
    <cellStyle name="Normal 2 3 4 2 3 3 2" xfId="5061"/>
    <cellStyle name="Normal 2 3 4 2 3 4" xfId="5062"/>
    <cellStyle name="Normal 2 3 4 2 3 4 2" xfId="5063"/>
    <cellStyle name="Normal 2 3 4 2 3 5" xfId="5064"/>
    <cellStyle name="Normal 2 3 4 2 4" xfId="5065"/>
    <cellStyle name="Normal 2 3 4 2 4 2" xfId="5066"/>
    <cellStyle name="Normal 2 3 4 2 4 2 2" xfId="5067"/>
    <cellStyle name="Normal 2 3 4 2 4 3" xfId="5068"/>
    <cellStyle name="Normal 2 3 4 2 5" xfId="5069"/>
    <cellStyle name="Normal 2 3 4 2 5 2" xfId="5070"/>
    <cellStyle name="Normal 2 3 4 2 6" xfId="5071"/>
    <cellStyle name="Normal 2 3 4 3" xfId="5072"/>
    <cellStyle name="Normal 2 3 4 3 2" xfId="5073"/>
    <cellStyle name="Normal 2 3 4 3 2 2" xfId="5074"/>
    <cellStyle name="Normal 2 3 4 3 2 2 2" xfId="5075"/>
    <cellStyle name="Normal 2 3 4 3 2 3" xfId="5076"/>
    <cellStyle name="Normal 2 3 4 3 2 3 2" xfId="5077"/>
    <cellStyle name="Normal 2 3 4 3 2 4" xfId="5078"/>
    <cellStyle name="Normal 2 3 4 3 3" xfId="5079"/>
    <cellStyle name="Normal 2 3 4 3 3 2" xfId="5080"/>
    <cellStyle name="Normal 2 3 4 3 3 2 2" xfId="5081"/>
    <cellStyle name="Normal 2 3 4 3 3 3" xfId="5082"/>
    <cellStyle name="Normal 2 3 4 3 4" xfId="5083"/>
    <cellStyle name="Normal 2 3 4 3 4 2" xfId="5084"/>
    <cellStyle name="Normal 2 3 4 3 5" xfId="5085"/>
    <cellStyle name="Normal 2 3 4 4" xfId="5086"/>
    <cellStyle name="Normal 2 3 4 4 2" xfId="5087"/>
    <cellStyle name="Normal 2 3 4 4 2 2" xfId="5088"/>
    <cellStyle name="Normal 2 3 4 4 2 2 2" xfId="5089"/>
    <cellStyle name="Normal 2 3 4 4 2 3" xfId="5090"/>
    <cellStyle name="Normal 2 3 4 4 3" xfId="5091"/>
    <cellStyle name="Normal 2 3 4 4 3 2" xfId="5092"/>
    <cellStyle name="Normal 2 3 4 4 4" xfId="5093"/>
    <cellStyle name="Normal 2 3 4 5" xfId="5094"/>
    <cellStyle name="Normal 2 3 4 5 2" xfId="5095"/>
    <cellStyle name="Normal 2 3 4 5 2 2" xfId="5096"/>
    <cellStyle name="Normal 2 3 4 5 2 2 2" xfId="5097"/>
    <cellStyle name="Normal 2 3 4 5 2 3" xfId="5098"/>
    <cellStyle name="Normal 2 3 4 5 3" xfId="5099"/>
    <cellStyle name="Normal 2 3 4 5 3 2" xfId="5100"/>
    <cellStyle name="Normal 2 3 4 5 4" xfId="5101"/>
    <cellStyle name="Normal 2 3 4 5 4 2" xfId="5102"/>
    <cellStyle name="Normal 2 3 4 5 5" xfId="5103"/>
    <cellStyle name="Normal 2 3 4 6" xfId="5104"/>
    <cellStyle name="Normal 2 3 4 6 2" xfId="5105"/>
    <cellStyle name="Normal 2 3 4 6 2 2" xfId="5106"/>
    <cellStyle name="Normal 2 3 4 6 3" xfId="5107"/>
    <cellStyle name="Normal 2 3 4 7" xfId="5108"/>
    <cellStyle name="Normal 2 3 4 7 2" xfId="5109"/>
    <cellStyle name="Normal 2 3 4 8" xfId="5110"/>
    <cellStyle name="Normal 2 3 5" xfId="5111"/>
    <cellStyle name="Normal 2 3 5 2" xfId="5112"/>
    <cellStyle name="Normal 2 3 5 2 2" xfId="5113"/>
    <cellStyle name="Normal 2 3 5 2 2 2" xfId="5114"/>
    <cellStyle name="Normal 2 3 5 2 2 2 2" xfId="5115"/>
    <cellStyle name="Normal 2 3 5 2 2 3" xfId="5116"/>
    <cellStyle name="Normal 2 3 5 2 2 3 2" xfId="5117"/>
    <cellStyle name="Normal 2 3 5 2 2 4" xfId="5118"/>
    <cellStyle name="Normal 2 3 5 2 3" xfId="5119"/>
    <cellStyle name="Normal 2 3 5 2 3 2" xfId="5120"/>
    <cellStyle name="Normal 2 3 5 2 3 2 2" xfId="5121"/>
    <cellStyle name="Normal 2 3 5 2 3 3" xfId="5122"/>
    <cellStyle name="Normal 2 3 5 2 4" xfId="5123"/>
    <cellStyle name="Normal 2 3 5 2 4 2" xfId="5124"/>
    <cellStyle name="Normal 2 3 5 2 5" xfId="5125"/>
    <cellStyle name="Normal 2 3 5 3" xfId="5126"/>
    <cellStyle name="Normal 2 3 5 3 2" xfId="5127"/>
    <cellStyle name="Normal 2 3 5 3 2 2" xfId="5128"/>
    <cellStyle name="Normal 2 3 5 3 2 2 2" xfId="5129"/>
    <cellStyle name="Normal 2 3 5 3 2 3" xfId="5130"/>
    <cellStyle name="Normal 2 3 5 3 3" xfId="5131"/>
    <cellStyle name="Normal 2 3 5 3 3 2" xfId="5132"/>
    <cellStyle name="Normal 2 3 5 3 4" xfId="5133"/>
    <cellStyle name="Normal 2 3 5 3 4 2" xfId="5134"/>
    <cellStyle name="Normal 2 3 5 3 5" xfId="5135"/>
    <cellStyle name="Normal 2 3 5 4" xfId="5136"/>
    <cellStyle name="Normal 2 3 5 4 2" xfId="5137"/>
    <cellStyle name="Normal 2 3 5 4 2 2" xfId="5138"/>
    <cellStyle name="Normal 2 3 5 4 3" xfId="5139"/>
    <cellStyle name="Normal 2 3 5 5" xfId="5140"/>
    <cellStyle name="Normal 2 3 5 5 2" xfId="5141"/>
    <cellStyle name="Normal 2 3 5 6" xfId="5142"/>
    <cellStyle name="Normal 2 3 6" xfId="5143"/>
    <cellStyle name="Normal 2 3 6 2" xfId="5144"/>
    <cellStyle name="Normal 2 3 6 2 2" xfId="5145"/>
    <cellStyle name="Normal 2 3 6 2 2 2" xfId="5146"/>
    <cellStyle name="Normal 2 3 6 2 3" xfId="5147"/>
    <cellStyle name="Normal 2 3 6 2 3 2" xfId="5148"/>
    <cellStyle name="Normal 2 3 6 2 4" xfId="5149"/>
    <cellStyle name="Normal 2 3 6 3" xfId="5150"/>
    <cellStyle name="Normal 2 3 6 3 2" xfId="5151"/>
    <cellStyle name="Normal 2 3 6 3 2 2" xfId="5152"/>
    <cellStyle name="Normal 2 3 6 3 3" xfId="5153"/>
    <cellStyle name="Normal 2 3 6 4" xfId="5154"/>
    <cellStyle name="Normal 2 3 6 4 2" xfId="5155"/>
    <cellStyle name="Normal 2 3 6 5" xfId="5156"/>
    <cellStyle name="Normal 2 3 7" xfId="5157"/>
    <cellStyle name="Normal 2 3 7 2" xfId="5158"/>
    <cellStyle name="Normal 2 3 7 2 2" xfId="5159"/>
    <cellStyle name="Normal 2 3 7 2 2 2" xfId="5160"/>
    <cellStyle name="Normal 2 3 7 2 3" xfId="5161"/>
    <cellStyle name="Normal 2 3 7 3" xfId="5162"/>
    <cellStyle name="Normal 2 3 7 3 2" xfId="5163"/>
    <cellStyle name="Normal 2 3 7 4" xfId="5164"/>
    <cellStyle name="Normal 2 3 8" xfId="5165"/>
    <cellStyle name="Normal 2 3 8 2" xfId="5166"/>
    <cellStyle name="Normal 2 3 8 2 2" xfId="5167"/>
    <cellStyle name="Normal 2 3 8 2 2 2" xfId="5168"/>
    <cellStyle name="Normal 2 3 8 2 3" xfId="5169"/>
    <cellStyle name="Normal 2 3 8 3" xfId="5170"/>
    <cellStyle name="Normal 2 3 8 3 2" xfId="5171"/>
    <cellStyle name="Normal 2 3 8 4" xfId="5172"/>
    <cellStyle name="Normal 2 3 9" xfId="5173"/>
    <cellStyle name="Normal 2 3 9 2" xfId="5174"/>
    <cellStyle name="Normal 2 3 9 2 2" xfId="5175"/>
    <cellStyle name="Normal 2 3 9 3" xfId="5176"/>
    <cellStyle name="Normal 2 4" xfId="5177"/>
    <cellStyle name="Normal 2 4 2" xfId="9017"/>
    <cellStyle name="Normal 2 5" xfId="5178"/>
    <cellStyle name="Normal 2 5 10" xfId="5179"/>
    <cellStyle name="Normal 2 5 10 2" xfId="5180"/>
    <cellStyle name="Normal 2 5 11" xfId="5181"/>
    <cellStyle name="Normal 2 5 12" xfId="9026"/>
    <cellStyle name="Normal 2 5 2" xfId="5182"/>
    <cellStyle name="Normal 2 5 2 10" xfId="5183"/>
    <cellStyle name="Normal 2 5 2 2" xfId="5184"/>
    <cellStyle name="Normal 2 5 2 2 2" xfId="5185"/>
    <cellStyle name="Normal 2 5 2 2 2 2" xfId="5186"/>
    <cellStyle name="Normal 2 5 2 2 2 2 2" xfId="5187"/>
    <cellStyle name="Normal 2 5 2 2 2 2 2 2" xfId="5188"/>
    <cellStyle name="Normal 2 5 2 2 2 2 2 2 2" xfId="5189"/>
    <cellStyle name="Normal 2 5 2 2 2 2 2 3" xfId="5190"/>
    <cellStyle name="Normal 2 5 2 2 2 2 2 3 2" xfId="5191"/>
    <cellStyle name="Normal 2 5 2 2 2 2 2 4" xfId="5192"/>
    <cellStyle name="Normal 2 5 2 2 2 2 3" xfId="5193"/>
    <cellStyle name="Normal 2 5 2 2 2 2 3 2" xfId="5194"/>
    <cellStyle name="Normal 2 5 2 2 2 2 3 2 2" xfId="5195"/>
    <cellStyle name="Normal 2 5 2 2 2 2 3 3" xfId="5196"/>
    <cellStyle name="Normal 2 5 2 2 2 2 4" xfId="5197"/>
    <cellStyle name="Normal 2 5 2 2 2 2 4 2" xfId="5198"/>
    <cellStyle name="Normal 2 5 2 2 2 2 5" xfId="5199"/>
    <cellStyle name="Normal 2 5 2 2 2 3" xfId="5200"/>
    <cellStyle name="Normal 2 5 2 2 2 3 2" xfId="5201"/>
    <cellStyle name="Normal 2 5 2 2 2 3 2 2" xfId="5202"/>
    <cellStyle name="Normal 2 5 2 2 2 3 2 2 2" xfId="5203"/>
    <cellStyle name="Normal 2 5 2 2 2 3 2 3" xfId="5204"/>
    <cellStyle name="Normal 2 5 2 2 2 3 3" xfId="5205"/>
    <cellStyle name="Normal 2 5 2 2 2 3 3 2" xfId="5206"/>
    <cellStyle name="Normal 2 5 2 2 2 3 4" xfId="5207"/>
    <cellStyle name="Normal 2 5 2 2 2 3 4 2" xfId="5208"/>
    <cellStyle name="Normal 2 5 2 2 2 3 5" xfId="5209"/>
    <cellStyle name="Normal 2 5 2 2 2 4" xfId="5210"/>
    <cellStyle name="Normal 2 5 2 2 2 4 2" xfId="5211"/>
    <cellStyle name="Normal 2 5 2 2 2 4 2 2" xfId="5212"/>
    <cellStyle name="Normal 2 5 2 2 2 4 3" xfId="5213"/>
    <cellStyle name="Normal 2 5 2 2 2 5" xfId="5214"/>
    <cellStyle name="Normal 2 5 2 2 2 5 2" xfId="5215"/>
    <cellStyle name="Normal 2 5 2 2 2 6" xfId="5216"/>
    <cellStyle name="Normal 2 5 2 2 3" xfId="5217"/>
    <cellStyle name="Normal 2 5 2 2 3 2" xfId="5218"/>
    <cellStyle name="Normal 2 5 2 2 3 2 2" xfId="5219"/>
    <cellStyle name="Normal 2 5 2 2 3 2 2 2" xfId="5220"/>
    <cellStyle name="Normal 2 5 2 2 3 2 3" xfId="5221"/>
    <cellStyle name="Normal 2 5 2 2 3 2 3 2" xfId="5222"/>
    <cellStyle name="Normal 2 5 2 2 3 2 4" xfId="5223"/>
    <cellStyle name="Normal 2 5 2 2 3 3" xfId="5224"/>
    <cellStyle name="Normal 2 5 2 2 3 3 2" xfId="5225"/>
    <cellStyle name="Normal 2 5 2 2 3 3 2 2" xfId="5226"/>
    <cellStyle name="Normal 2 5 2 2 3 3 3" xfId="5227"/>
    <cellStyle name="Normal 2 5 2 2 3 4" xfId="5228"/>
    <cellStyle name="Normal 2 5 2 2 3 4 2" xfId="5229"/>
    <cellStyle name="Normal 2 5 2 2 3 5" xfId="5230"/>
    <cellStyle name="Normal 2 5 2 2 4" xfId="5231"/>
    <cellStyle name="Normal 2 5 2 2 4 2" xfId="5232"/>
    <cellStyle name="Normal 2 5 2 2 4 2 2" xfId="5233"/>
    <cellStyle name="Normal 2 5 2 2 4 2 2 2" xfId="5234"/>
    <cellStyle name="Normal 2 5 2 2 4 2 3" xfId="5235"/>
    <cellStyle name="Normal 2 5 2 2 4 3" xfId="5236"/>
    <cellStyle name="Normal 2 5 2 2 4 3 2" xfId="5237"/>
    <cellStyle name="Normal 2 5 2 2 4 4" xfId="5238"/>
    <cellStyle name="Normal 2 5 2 2 5" xfId="5239"/>
    <cellStyle name="Normal 2 5 2 2 5 2" xfId="5240"/>
    <cellStyle name="Normal 2 5 2 2 5 2 2" xfId="5241"/>
    <cellStyle name="Normal 2 5 2 2 5 2 2 2" xfId="5242"/>
    <cellStyle name="Normal 2 5 2 2 5 2 3" xfId="5243"/>
    <cellStyle name="Normal 2 5 2 2 5 3" xfId="5244"/>
    <cellStyle name="Normal 2 5 2 2 5 3 2" xfId="5245"/>
    <cellStyle name="Normal 2 5 2 2 5 4" xfId="5246"/>
    <cellStyle name="Normal 2 5 2 2 5 4 2" xfId="5247"/>
    <cellStyle name="Normal 2 5 2 2 5 5" xfId="5248"/>
    <cellStyle name="Normal 2 5 2 2 6" xfId="5249"/>
    <cellStyle name="Normal 2 5 2 2 6 2" xfId="5250"/>
    <cellStyle name="Normal 2 5 2 2 6 2 2" xfId="5251"/>
    <cellStyle name="Normal 2 5 2 2 6 3" xfId="5252"/>
    <cellStyle name="Normal 2 5 2 2 7" xfId="5253"/>
    <cellStyle name="Normal 2 5 2 2 7 2" xfId="5254"/>
    <cellStyle name="Normal 2 5 2 2 8" xfId="5255"/>
    <cellStyle name="Normal 2 5 2 3" xfId="5256"/>
    <cellStyle name="Normal 2 5 2 3 2" xfId="5257"/>
    <cellStyle name="Normal 2 5 2 3 2 2" xfId="5258"/>
    <cellStyle name="Normal 2 5 2 3 2 2 2" xfId="5259"/>
    <cellStyle name="Normal 2 5 2 3 2 2 2 2" xfId="5260"/>
    <cellStyle name="Normal 2 5 2 3 2 2 3" xfId="5261"/>
    <cellStyle name="Normal 2 5 2 3 2 2 3 2" xfId="5262"/>
    <cellStyle name="Normal 2 5 2 3 2 2 4" xfId="5263"/>
    <cellStyle name="Normal 2 5 2 3 2 3" xfId="5264"/>
    <cellStyle name="Normal 2 5 2 3 2 3 2" xfId="5265"/>
    <cellStyle name="Normal 2 5 2 3 2 3 2 2" xfId="5266"/>
    <cellStyle name="Normal 2 5 2 3 2 3 3" xfId="5267"/>
    <cellStyle name="Normal 2 5 2 3 2 4" xfId="5268"/>
    <cellStyle name="Normal 2 5 2 3 2 4 2" xfId="5269"/>
    <cellStyle name="Normal 2 5 2 3 2 5" xfId="5270"/>
    <cellStyle name="Normal 2 5 2 3 3" xfId="5271"/>
    <cellStyle name="Normal 2 5 2 3 3 2" xfId="5272"/>
    <cellStyle name="Normal 2 5 2 3 3 2 2" xfId="5273"/>
    <cellStyle name="Normal 2 5 2 3 3 2 2 2" xfId="5274"/>
    <cellStyle name="Normal 2 5 2 3 3 2 3" xfId="5275"/>
    <cellStyle name="Normal 2 5 2 3 3 3" xfId="5276"/>
    <cellStyle name="Normal 2 5 2 3 3 3 2" xfId="5277"/>
    <cellStyle name="Normal 2 5 2 3 3 4" xfId="5278"/>
    <cellStyle name="Normal 2 5 2 3 3 4 2" xfId="5279"/>
    <cellStyle name="Normal 2 5 2 3 3 5" xfId="5280"/>
    <cellStyle name="Normal 2 5 2 3 4" xfId="5281"/>
    <cellStyle name="Normal 2 5 2 3 4 2" xfId="5282"/>
    <cellStyle name="Normal 2 5 2 3 4 2 2" xfId="5283"/>
    <cellStyle name="Normal 2 5 2 3 4 3" xfId="5284"/>
    <cellStyle name="Normal 2 5 2 3 5" xfId="5285"/>
    <cellStyle name="Normal 2 5 2 3 5 2" xfId="5286"/>
    <cellStyle name="Normal 2 5 2 3 6" xfId="5287"/>
    <cellStyle name="Normal 2 5 2 4" xfId="5288"/>
    <cellStyle name="Normal 2 5 2 4 2" xfId="5289"/>
    <cellStyle name="Normal 2 5 2 4 2 2" xfId="5290"/>
    <cellStyle name="Normal 2 5 2 4 2 2 2" xfId="5291"/>
    <cellStyle name="Normal 2 5 2 4 2 3" xfId="5292"/>
    <cellStyle name="Normal 2 5 2 4 2 3 2" xfId="5293"/>
    <cellStyle name="Normal 2 5 2 4 2 4" xfId="5294"/>
    <cellStyle name="Normal 2 5 2 4 3" xfId="5295"/>
    <cellStyle name="Normal 2 5 2 4 3 2" xfId="5296"/>
    <cellStyle name="Normal 2 5 2 4 3 2 2" xfId="5297"/>
    <cellStyle name="Normal 2 5 2 4 3 3" xfId="5298"/>
    <cellStyle name="Normal 2 5 2 4 4" xfId="5299"/>
    <cellStyle name="Normal 2 5 2 4 4 2" xfId="5300"/>
    <cellStyle name="Normal 2 5 2 4 5" xfId="5301"/>
    <cellStyle name="Normal 2 5 2 5" xfId="5302"/>
    <cellStyle name="Normal 2 5 2 5 2" xfId="5303"/>
    <cellStyle name="Normal 2 5 2 5 2 2" xfId="5304"/>
    <cellStyle name="Normal 2 5 2 5 2 2 2" xfId="5305"/>
    <cellStyle name="Normal 2 5 2 5 2 3" xfId="5306"/>
    <cellStyle name="Normal 2 5 2 5 3" xfId="5307"/>
    <cellStyle name="Normal 2 5 2 5 3 2" xfId="5308"/>
    <cellStyle name="Normal 2 5 2 5 4" xfId="5309"/>
    <cellStyle name="Normal 2 5 2 6" xfId="5310"/>
    <cellStyle name="Normal 2 5 2 6 2" xfId="5311"/>
    <cellStyle name="Normal 2 5 2 6 2 2" xfId="5312"/>
    <cellStyle name="Normal 2 5 2 6 2 2 2" xfId="5313"/>
    <cellStyle name="Normal 2 5 2 6 2 3" xfId="5314"/>
    <cellStyle name="Normal 2 5 2 6 3" xfId="5315"/>
    <cellStyle name="Normal 2 5 2 6 3 2" xfId="5316"/>
    <cellStyle name="Normal 2 5 2 6 4" xfId="5317"/>
    <cellStyle name="Normal 2 5 2 7" xfId="5318"/>
    <cellStyle name="Normal 2 5 2 7 2" xfId="5319"/>
    <cellStyle name="Normal 2 5 2 7 2 2" xfId="5320"/>
    <cellStyle name="Normal 2 5 2 7 3" xfId="5321"/>
    <cellStyle name="Normal 2 5 2 8" xfId="5322"/>
    <cellStyle name="Normal 2 5 2 8 2" xfId="5323"/>
    <cellStyle name="Normal 2 5 2 9" xfId="5324"/>
    <cellStyle name="Normal 2 5 2 9 2" xfId="5325"/>
    <cellStyle name="Normal 2 5 3" xfId="5326"/>
    <cellStyle name="Normal 2 5 3 2" xfId="5327"/>
    <cellStyle name="Normal 2 5 3 2 2" xfId="5328"/>
    <cellStyle name="Normal 2 5 3 2 2 2" xfId="5329"/>
    <cellStyle name="Normal 2 5 3 2 2 2 2" xfId="5330"/>
    <cellStyle name="Normal 2 5 3 2 2 2 2 2" xfId="5331"/>
    <cellStyle name="Normal 2 5 3 2 2 2 3" xfId="5332"/>
    <cellStyle name="Normal 2 5 3 2 2 2 3 2" xfId="5333"/>
    <cellStyle name="Normal 2 5 3 2 2 2 4" xfId="5334"/>
    <cellStyle name="Normal 2 5 3 2 2 3" xfId="5335"/>
    <cellStyle name="Normal 2 5 3 2 2 3 2" xfId="5336"/>
    <cellStyle name="Normal 2 5 3 2 2 3 2 2" xfId="5337"/>
    <cellStyle name="Normal 2 5 3 2 2 3 3" xfId="5338"/>
    <cellStyle name="Normal 2 5 3 2 2 4" xfId="5339"/>
    <cellStyle name="Normal 2 5 3 2 2 4 2" xfId="5340"/>
    <cellStyle name="Normal 2 5 3 2 2 5" xfId="5341"/>
    <cellStyle name="Normal 2 5 3 2 3" xfId="5342"/>
    <cellStyle name="Normal 2 5 3 2 3 2" xfId="5343"/>
    <cellStyle name="Normal 2 5 3 2 3 2 2" xfId="5344"/>
    <cellStyle name="Normal 2 5 3 2 3 2 2 2" xfId="5345"/>
    <cellStyle name="Normal 2 5 3 2 3 2 3" xfId="5346"/>
    <cellStyle name="Normal 2 5 3 2 3 3" xfId="5347"/>
    <cellStyle name="Normal 2 5 3 2 3 3 2" xfId="5348"/>
    <cellStyle name="Normal 2 5 3 2 3 4" xfId="5349"/>
    <cellStyle name="Normal 2 5 3 2 3 4 2" xfId="5350"/>
    <cellStyle name="Normal 2 5 3 2 3 5" xfId="5351"/>
    <cellStyle name="Normal 2 5 3 2 4" xfId="5352"/>
    <cellStyle name="Normal 2 5 3 2 4 2" xfId="5353"/>
    <cellStyle name="Normal 2 5 3 2 4 2 2" xfId="5354"/>
    <cellStyle name="Normal 2 5 3 2 4 3" xfId="5355"/>
    <cellStyle name="Normal 2 5 3 2 5" xfId="5356"/>
    <cellStyle name="Normal 2 5 3 2 5 2" xfId="5357"/>
    <cellStyle name="Normal 2 5 3 2 6" xfId="5358"/>
    <cellStyle name="Normal 2 5 3 3" xfId="5359"/>
    <cellStyle name="Normal 2 5 3 3 2" xfId="5360"/>
    <cellStyle name="Normal 2 5 3 3 2 2" xfId="5361"/>
    <cellStyle name="Normal 2 5 3 3 2 2 2" xfId="5362"/>
    <cellStyle name="Normal 2 5 3 3 2 3" xfId="5363"/>
    <cellStyle name="Normal 2 5 3 3 2 3 2" xfId="5364"/>
    <cellStyle name="Normal 2 5 3 3 2 4" xfId="5365"/>
    <cellStyle name="Normal 2 5 3 3 3" xfId="5366"/>
    <cellStyle name="Normal 2 5 3 3 3 2" xfId="5367"/>
    <cellStyle name="Normal 2 5 3 3 3 2 2" xfId="5368"/>
    <cellStyle name="Normal 2 5 3 3 3 3" xfId="5369"/>
    <cellStyle name="Normal 2 5 3 3 4" xfId="5370"/>
    <cellStyle name="Normal 2 5 3 3 4 2" xfId="5371"/>
    <cellStyle name="Normal 2 5 3 3 5" xfId="5372"/>
    <cellStyle name="Normal 2 5 3 4" xfId="5373"/>
    <cellStyle name="Normal 2 5 3 4 2" xfId="5374"/>
    <cellStyle name="Normal 2 5 3 4 2 2" xfId="5375"/>
    <cellStyle name="Normal 2 5 3 4 2 2 2" xfId="5376"/>
    <cellStyle name="Normal 2 5 3 4 2 3" xfId="5377"/>
    <cellStyle name="Normal 2 5 3 4 3" xfId="5378"/>
    <cellStyle name="Normal 2 5 3 4 3 2" xfId="5379"/>
    <cellStyle name="Normal 2 5 3 4 4" xfId="5380"/>
    <cellStyle name="Normal 2 5 3 5" xfId="5381"/>
    <cellStyle name="Normal 2 5 3 5 2" xfId="5382"/>
    <cellStyle name="Normal 2 5 3 5 2 2" xfId="5383"/>
    <cellStyle name="Normal 2 5 3 5 2 2 2" xfId="5384"/>
    <cellStyle name="Normal 2 5 3 5 2 3" xfId="5385"/>
    <cellStyle name="Normal 2 5 3 5 3" xfId="5386"/>
    <cellStyle name="Normal 2 5 3 5 3 2" xfId="5387"/>
    <cellStyle name="Normal 2 5 3 5 4" xfId="5388"/>
    <cellStyle name="Normal 2 5 3 5 4 2" xfId="5389"/>
    <cellStyle name="Normal 2 5 3 5 5" xfId="5390"/>
    <cellStyle name="Normal 2 5 3 6" xfId="5391"/>
    <cellStyle name="Normal 2 5 3 6 2" xfId="5392"/>
    <cellStyle name="Normal 2 5 3 6 2 2" xfId="5393"/>
    <cellStyle name="Normal 2 5 3 6 3" xfId="5394"/>
    <cellStyle name="Normal 2 5 3 7" xfId="5395"/>
    <cellStyle name="Normal 2 5 3 7 2" xfId="5396"/>
    <cellStyle name="Normal 2 5 3 8" xfId="5397"/>
    <cellStyle name="Normal 2 5 4" xfId="5398"/>
    <cellStyle name="Normal 2 5 4 2" xfId="5399"/>
    <cellStyle name="Normal 2 5 4 2 2" xfId="5400"/>
    <cellStyle name="Normal 2 5 4 2 2 2" xfId="5401"/>
    <cellStyle name="Normal 2 5 4 2 2 2 2" xfId="5402"/>
    <cellStyle name="Normal 2 5 4 2 2 3" xfId="5403"/>
    <cellStyle name="Normal 2 5 4 2 2 3 2" xfId="5404"/>
    <cellStyle name="Normal 2 5 4 2 2 4" xfId="5405"/>
    <cellStyle name="Normal 2 5 4 2 3" xfId="5406"/>
    <cellStyle name="Normal 2 5 4 2 3 2" xfId="5407"/>
    <cellStyle name="Normal 2 5 4 2 3 2 2" xfId="5408"/>
    <cellStyle name="Normal 2 5 4 2 3 3" xfId="5409"/>
    <cellStyle name="Normal 2 5 4 2 4" xfId="5410"/>
    <cellStyle name="Normal 2 5 4 2 4 2" xfId="5411"/>
    <cellStyle name="Normal 2 5 4 2 5" xfId="5412"/>
    <cellStyle name="Normal 2 5 4 3" xfId="5413"/>
    <cellStyle name="Normal 2 5 4 3 2" xfId="5414"/>
    <cellStyle name="Normal 2 5 4 3 2 2" xfId="5415"/>
    <cellStyle name="Normal 2 5 4 3 2 2 2" xfId="5416"/>
    <cellStyle name="Normal 2 5 4 3 2 3" xfId="5417"/>
    <cellStyle name="Normal 2 5 4 3 3" xfId="5418"/>
    <cellStyle name="Normal 2 5 4 3 3 2" xfId="5419"/>
    <cellStyle name="Normal 2 5 4 3 4" xfId="5420"/>
    <cellStyle name="Normal 2 5 4 3 4 2" xfId="5421"/>
    <cellStyle name="Normal 2 5 4 3 5" xfId="5422"/>
    <cellStyle name="Normal 2 5 4 4" xfId="5423"/>
    <cellStyle name="Normal 2 5 4 4 2" xfId="5424"/>
    <cellStyle name="Normal 2 5 4 4 2 2" xfId="5425"/>
    <cellStyle name="Normal 2 5 4 4 3" xfId="5426"/>
    <cellStyle name="Normal 2 5 4 5" xfId="5427"/>
    <cellStyle name="Normal 2 5 4 5 2" xfId="5428"/>
    <cellStyle name="Normal 2 5 4 6" xfId="5429"/>
    <cellStyle name="Normal 2 5 5" xfId="5430"/>
    <cellStyle name="Normal 2 5 5 2" xfId="5431"/>
    <cellStyle name="Normal 2 5 5 2 2" xfId="5432"/>
    <cellStyle name="Normal 2 5 5 2 2 2" xfId="5433"/>
    <cellStyle name="Normal 2 5 5 2 3" xfId="5434"/>
    <cellStyle name="Normal 2 5 5 2 3 2" xfId="5435"/>
    <cellStyle name="Normal 2 5 5 2 4" xfId="5436"/>
    <cellStyle name="Normal 2 5 5 3" xfId="5437"/>
    <cellStyle name="Normal 2 5 5 3 2" xfId="5438"/>
    <cellStyle name="Normal 2 5 5 3 2 2" xfId="5439"/>
    <cellStyle name="Normal 2 5 5 3 3" xfId="5440"/>
    <cellStyle name="Normal 2 5 5 4" xfId="5441"/>
    <cellStyle name="Normal 2 5 5 4 2" xfId="5442"/>
    <cellStyle name="Normal 2 5 5 5" xfId="5443"/>
    <cellStyle name="Normal 2 5 6" xfId="5444"/>
    <cellStyle name="Normal 2 5 6 2" xfId="5445"/>
    <cellStyle name="Normal 2 5 6 2 2" xfId="5446"/>
    <cellStyle name="Normal 2 5 6 2 2 2" xfId="5447"/>
    <cellStyle name="Normal 2 5 6 2 3" xfId="5448"/>
    <cellStyle name="Normal 2 5 6 3" xfId="5449"/>
    <cellStyle name="Normal 2 5 6 3 2" xfId="5450"/>
    <cellStyle name="Normal 2 5 6 4" xfId="5451"/>
    <cellStyle name="Normal 2 5 7" xfId="5452"/>
    <cellStyle name="Normal 2 5 7 2" xfId="5453"/>
    <cellStyle name="Normal 2 5 7 2 2" xfId="5454"/>
    <cellStyle name="Normal 2 5 7 2 2 2" xfId="5455"/>
    <cellStyle name="Normal 2 5 7 2 3" xfId="5456"/>
    <cellStyle name="Normal 2 5 7 3" xfId="5457"/>
    <cellStyle name="Normal 2 5 7 3 2" xfId="5458"/>
    <cellStyle name="Normal 2 5 7 4" xfId="5459"/>
    <cellStyle name="Normal 2 5 8" xfId="5460"/>
    <cellStyle name="Normal 2 5 8 2" xfId="5461"/>
    <cellStyle name="Normal 2 5 8 2 2" xfId="5462"/>
    <cellStyle name="Normal 2 5 8 3" xfId="5463"/>
    <cellStyle name="Normal 2 5 9" xfId="5464"/>
    <cellStyle name="Normal 2 5 9 2" xfId="5465"/>
    <cellStyle name="Normal 2 6" xfId="5466"/>
    <cellStyle name="Normal 2 7" xfId="5467"/>
    <cellStyle name="Normal 2 8" xfId="5468"/>
    <cellStyle name="Normal 2 9" xfId="3735"/>
    <cellStyle name="Normal 2 9 2" xfId="16556"/>
    <cellStyle name="Normal 20" xfId="5469"/>
    <cellStyle name="Normal 21" xfId="5470"/>
    <cellStyle name="Normal 22" xfId="5471"/>
    <cellStyle name="Normal 23" xfId="5472"/>
    <cellStyle name="Normal 24" xfId="5473"/>
    <cellStyle name="Normal 25" xfId="5474"/>
    <cellStyle name="Normal 26" xfId="5475"/>
    <cellStyle name="Normal 27" xfId="8914"/>
    <cellStyle name="Normal 28" xfId="8929"/>
    <cellStyle name="Normal 29" xfId="8938"/>
    <cellStyle name="Normal 3" xfId="13"/>
    <cellStyle name="Normal 3 10" xfId="5476"/>
    <cellStyle name="Normal 3 10 2" xfId="5477"/>
    <cellStyle name="Normal 3 10 2 2" xfId="5478"/>
    <cellStyle name="Normal 3 10 2 2 2" xfId="5479"/>
    <cellStyle name="Normal 3 10 2 3" xfId="5480"/>
    <cellStyle name="Normal 3 10 3" xfId="5481"/>
    <cellStyle name="Normal 3 10 3 2" xfId="5482"/>
    <cellStyle name="Normal 3 10 4" xfId="5483"/>
    <cellStyle name="Normal 3 11" xfId="5484"/>
    <cellStyle name="Normal 3 11 2" xfId="5485"/>
    <cellStyle name="Normal 3 11 2 2" xfId="5486"/>
    <cellStyle name="Normal 3 11 3" xfId="5487"/>
    <cellStyle name="Normal 3 12" xfId="5488"/>
    <cellStyle name="Normal 3 12 2" xfId="5489"/>
    <cellStyle name="Normal 3 13" xfId="5490"/>
    <cellStyle name="Normal 3 13 2" xfId="5491"/>
    <cellStyle name="Normal 3 14" xfId="5492"/>
    <cellStyle name="Normal 3 15" xfId="5493"/>
    <cellStyle name="Normal 3 16" xfId="5494"/>
    <cellStyle name="Normal 3 17" xfId="8898"/>
    <cellStyle name="Normal 3 18" xfId="8958"/>
    <cellStyle name="Normal 3 18 2" xfId="16841"/>
    <cellStyle name="Normal 3 19" xfId="12916"/>
    <cellStyle name="Normal 3 2" xfId="22"/>
    <cellStyle name="Normal 3 2 10" xfId="5495"/>
    <cellStyle name="Normal 3 2 10 2" xfId="5496"/>
    <cellStyle name="Normal 3 2 10 2 2" xfId="5497"/>
    <cellStyle name="Normal 3 2 10 3" xfId="5498"/>
    <cellStyle name="Normal 3 2 11" xfId="5499"/>
    <cellStyle name="Normal 3 2 11 2" xfId="5500"/>
    <cellStyle name="Normal 3 2 12" xfId="5501"/>
    <cellStyle name="Normal 3 2 12 2" xfId="5502"/>
    <cellStyle name="Normal 3 2 13" xfId="5503"/>
    <cellStyle name="Normal 3 2 2" xfId="5504"/>
    <cellStyle name="Normal 3 2 2 10" xfId="5505"/>
    <cellStyle name="Normal 3 2 2 10 2" xfId="5506"/>
    <cellStyle name="Normal 3 2 2 11" xfId="5507"/>
    <cellStyle name="Normal 3 2 2 2" xfId="5508"/>
    <cellStyle name="Normal 3 2 2 2 10" xfId="5509"/>
    <cellStyle name="Normal 3 2 2 2 2" xfId="5510"/>
    <cellStyle name="Normal 3 2 2 2 2 2" xfId="5511"/>
    <cellStyle name="Normal 3 2 2 2 2 2 2" xfId="5512"/>
    <cellStyle name="Normal 3 2 2 2 2 2 2 2" xfId="5513"/>
    <cellStyle name="Normal 3 2 2 2 2 2 2 2 2" xfId="5514"/>
    <cellStyle name="Normal 3 2 2 2 2 2 2 2 2 2" xfId="5515"/>
    <cellStyle name="Normal 3 2 2 2 2 2 2 2 3" xfId="5516"/>
    <cellStyle name="Normal 3 2 2 2 2 2 2 2 3 2" xfId="5517"/>
    <cellStyle name="Normal 3 2 2 2 2 2 2 2 4" xfId="5518"/>
    <cellStyle name="Normal 3 2 2 2 2 2 2 3" xfId="5519"/>
    <cellStyle name="Normal 3 2 2 2 2 2 2 3 2" xfId="5520"/>
    <cellStyle name="Normal 3 2 2 2 2 2 2 3 2 2" xfId="5521"/>
    <cellStyle name="Normal 3 2 2 2 2 2 2 3 3" xfId="5522"/>
    <cellStyle name="Normal 3 2 2 2 2 2 2 4" xfId="5523"/>
    <cellStyle name="Normal 3 2 2 2 2 2 2 4 2" xfId="5524"/>
    <cellStyle name="Normal 3 2 2 2 2 2 2 5" xfId="5525"/>
    <cellStyle name="Normal 3 2 2 2 2 2 3" xfId="5526"/>
    <cellStyle name="Normal 3 2 2 2 2 2 3 2" xfId="5527"/>
    <cellStyle name="Normal 3 2 2 2 2 2 3 2 2" xfId="5528"/>
    <cellStyle name="Normal 3 2 2 2 2 2 3 2 2 2" xfId="5529"/>
    <cellStyle name="Normal 3 2 2 2 2 2 3 2 3" xfId="5530"/>
    <cellStyle name="Normal 3 2 2 2 2 2 3 3" xfId="5531"/>
    <cellStyle name="Normal 3 2 2 2 2 2 3 3 2" xfId="5532"/>
    <cellStyle name="Normal 3 2 2 2 2 2 3 4" xfId="5533"/>
    <cellStyle name="Normal 3 2 2 2 2 2 3 4 2" xfId="5534"/>
    <cellStyle name="Normal 3 2 2 2 2 2 3 5" xfId="5535"/>
    <cellStyle name="Normal 3 2 2 2 2 2 4" xfId="5536"/>
    <cellStyle name="Normal 3 2 2 2 2 2 4 2" xfId="5537"/>
    <cellStyle name="Normal 3 2 2 2 2 2 4 2 2" xfId="5538"/>
    <cellStyle name="Normal 3 2 2 2 2 2 4 3" xfId="5539"/>
    <cellStyle name="Normal 3 2 2 2 2 2 5" xfId="5540"/>
    <cellStyle name="Normal 3 2 2 2 2 2 5 2" xfId="5541"/>
    <cellStyle name="Normal 3 2 2 2 2 2 6" xfId="5542"/>
    <cellStyle name="Normal 3 2 2 2 2 3" xfId="5543"/>
    <cellStyle name="Normal 3 2 2 2 2 3 2" xfId="5544"/>
    <cellStyle name="Normal 3 2 2 2 2 3 2 2" xfId="5545"/>
    <cellStyle name="Normal 3 2 2 2 2 3 2 2 2" xfId="5546"/>
    <cellStyle name="Normal 3 2 2 2 2 3 2 3" xfId="5547"/>
    <cellStyle name="Normal 3 2 2 2 2 3 2 3 2" xfId="5548"/>
    <cellStyle name="Normal 3 2 2 2 2 3 2 4" xfId="5549"/>
    <cellStyle name="Normal 3 2 2 2 2 3 3" xfId="5550"/>
    <cellStyle name="Normal 3 2 2 2 2 3 3 2" xfId="5551"/>
    <cellStyle name="Normal 3 2 2 2 2 3 3 2 2" xfId="5552"/>
    <cellStyle name="Normal 3 2 2 2 2 3 3 3" xfId="5553"/>
    <cellStyle name="Normal 3 2 2 2 2 3 4" xfId="5554"/>
    <cellStyle name="Normal 3 2 2 2 2 3 4 2" xfId="5555"/>
    <cellStyle name="Normal 3 2 2 2 2 3 5" xfId="5556"/>
    <cellStyle name="Normal 3 2 2 2 2 4" xfId="5557"/>
    <cellStyle name="Normal 3 2 2 2 2 4 2" xfId="5558"/>
    <cellStyle name="Normal 3 2 2 2 2 4 2 2" xfId="5559"/>
    <cellStyle name="Normal 3 2 2 2 2 4 2 2 2" xfId="5560"/>
    <cellStyle name="Normal 3 2 2 2 2 4 2 3" xfId="5561"/>
    <cellStyle name="Normal 3 2 2 2 2 4 3" xfId="5562"/>
    <cellStyle name="Normal 3 2 2 2 2 4 3 2" xfId="5563"/>
    <cellStyle name="Normal 3 2 2 2 2 4 4" xfId="5564"/>
    <cellStyle name="Normal 3 2 2 2 2 5" xfId="5565"/>
    <cellStyle name="Normal 3 2 2 2 2 5 2" xfId="5566"/>
    <cellStyle name="Normal 3 2 2 2 2 5 2 2" xfId="5567"/>
    <cellStyle name="Normal 3 2 2 2 2 5 2 2 2" xfId="5568"/>
    <cellStyle name="Normal 3 2 2 2 2 5 2 3" xfId="5569"/>
    <cellStyle name="Normal 3 2 2 2 2 5 3" xfId="5570"/>
    <cellStyle name="Normal 3 2 2 2 2 5 3 2" xfId="5571"/>
    <cellStyle name="Normal 3 2 2 2 2 5 4" xfId="5572"/>
    <cellStyle name="Normal 3 2 2 2 2 5 4 2" xfId="5573"/>
    <cellStyle name="Normal 3 2 2 2 2 5 5" xfId="5574"/>
    <cellStyle name="Normal 3 2 2 2 2 6" xfId="5575"/>
    <cellStyle name="Normal 3 2 2 2 2 6 2" xfId="5576"/>
    <cellStyle name="Normal 3 2 2 2 2 6 2 2" xfId="5577"/>
    <cellStyle name="Normal 3 2 2 2 2 6 3" xfId="5578"/>
    <cellStyle name="Normal 3 2 2 2 2 7" xfId="5579"/>
    <cellStyle name="Normal 3 2 2 2 2 7 2" xfId="5580"/>
    <cellStyle name="Normal 3 2 2 2 2 8" xfId="5581"/>
    <cellStyle name="Normal 3 2 2 2 3" xfId="5582"/>
    <cellStyle name="Normal 3 2 2 2 3 2" xfId="5583"/>
    <cellStyle name="Normal 3 2 2 2 3 2 2" xfId="5584"/>
    <cellStyle name="Normal 3 2 2 2 3 2 2 2" xfId="5585"/>
    <cellStyle name="Normal 3 2 2 2 3 2 2 2 2" xfId="5586"/>
    <cellStyle name="Normal 3 2 2 2 3 2 2 3" xfId="5587"/>
    <cellStyle name="Normal 3 2 2 2 3 2 2 3 2" xfId="5588"/>
    <cellStyle name="Normal 3 2 2 2 3 2 2 4" xfId="5589"/>
    <cellStyle name="Normal 3 2 2 2 3 2 3" xfId="5590"/>
    <cellStyle name="Normal 3 2 2 2 3 2 3 2" xfId="5591"/>
    <cellStyle name="Normal 3 2 2 2 3 2 3 2 2" xfId="5592"/>
    <cellStyle name="Normal 3 2 2 2 3 2 3 3" xfId="5593"/>
    <cellStyle name="Normal 3 2 2 2 3 2 4" xfId="5594"/>
    <cellStyle name="Normal 3 2 2 2 3 2 4 2" xfId="5595"/>
    <cellStyle name="Normal 3 2 2 2 3 2 5" xfId="5596"/>
    <cellStyle name="Normal 3 2 2 2 3 3" xfId="5597"/>
    <cellStyle name="Normal 3 2 2 2 3 3 2" xfId="5598"/>
    <cellStyle name="Normal 3 2 2 2 3 3 2 2" xfId="5599"/>
    <cellStyle name="Normal 3 2 2 2 3 3 2 2 2" xfId="5600"/>
    <cellStyle name="Normal 3 2 2 2 3 3 2 3" xfId="5601"/>
    <cellStyle name="Normal 3 2 2 2 3 3 3" xfId="5602"/>
    <cellStyle name="Normal 3 2 2 2 3 3 3 2" xfId="5603"/>
    <cellStyle name="Normal 3 2 2 2 3 3 4" xfId="5604"/>
    <cellStyle name="Normal 3 2 2 2 3 3 4 2" xfId="5605"/>
    <cellStyle name="Normal 3 2 2 2 3 3 5" xfId="5606"/>
    <cellStyle name="Normal 3 2 2 2 3 4" xfId="5607"/>
    <cellStyle name="Normal 3 2 2 2 3 4 2" xfId="5608"/>
    <cellStyle name="Normal 3 2 2 2 3 4 2 2" xfId="5609"/>
    <cellStyle name="Normal 3 2 2 2 3 4 3" xfId="5610"/>
    <cellStyle name="Normal 3 2 2 2 3 5" xfId="5611"/>
    <cellStyle name="Normal 3 2 2 2 3 5 2" xfId="5612"/>
    <cellStyle name="Normal 3 2 2 2 3 6" xfId="5613"/>
    <cellStyle name="Normal 3 2 2 2 4" xfId="5614"/>
    <cellStyle name="Normal 3 2 2 2 4 2" xfId="5615"/>
    <cellStyle name="Normal 3 2 2 2 4 2 2" xfId="5616"/>
    <cellStyle name="Normal 3 2 2 2 4 2 2 2" xfId="5617"/>
    <cellStyle name="Normal 3 2 2 2 4 2 3" xfId="5618"/>
    <cellStyle name="Normal 3 2 2 2 4 2 3 2" xfId="5619"/>
    <cellStyle name="Normal 3 2 2 2 4 2 4" xfId="5620"/>
    <cellStyle name="Normal 3 2 2 2 4 3" xfId="5621"/>
    <cellStyle name="Normal 3 2 2 2 4 3 2" xfId="5622"/>
    <cellStyle name="Normal 3 2 2 2 4 3 2 2" xfId="5623"/>
    <cellStyle name="Normal 3 2 2 2 4 3 3" xfId="5624"/>
    <cellStyle name="Normal 3 2 2 2 4 4" xfId="5625"/>
    <cellStyle name="Normal 3 2 2 2 4 4 2" xfId="5626"/>
    <cellStyle name="Normal 3 2 2 2 4 5" xfId="5627"/>
    <cellStyle name="Normal 3 2 2 2 5" xfId="5628"/>
    <cellStyle name="Normal 3 2 2 2 5 2" xfId="5629"/>
    <cellStyle name="Normal 3 2 2 2 5 2 2" xfId="5630"/>
    <cellStyle name="Normal 3 2 2 2 5 2 2 2" xfId="5631"/>
    <cellStyle name="Normal 3 2 2 2 5 2 3" xfId="5632"/>
    <cellStyle name="Normal 3 2 2 2 5 3" xfId="5633"/>
    <cellStyle name="Normal 3 2 2 2 5 3 2" xfId="5634"/>
    <cellStyle name="Normal 3 2 2 2 5 4" xfId="5635"/>
    <cellStyle name="Normal 3 2 2 2 6" xfId="5636"/>
    <cellStyle name="Normal 3 2 2 2 6 2" xfId="5637"/>
    <cellStyle name="Normal 3 2 2 2 6 2 2" xfId="5638"/>
    <cellStyle name="Normal 3 2 2 2 6 2 2 2" xfId="5639"/>
    <cellStyle name="Normal 3 2 2 2 6 2 3" xfId="5640"/>
    <cellStyle name="Normal 3 2 2 2 6 3" xfId="5641"/>
    <cellStyle name="Normal 3 2 2 2 6 3 2" xfId="5642"/>
    <cellStyle name="Normal 3 2 2 2 6 4" xfId="5643"/>
    <cellStyle name="Normal 3 2 2 2 7" xfId="5644"/>
    <cellStyle name="Normal 3 2 2 2 7 2" xfId="5645"/>
    <cellStyle name="Normal 3 2 2 2 7 2 2" xfId="5646"/>
    <cellStyle name="Normal 3 2 2 2 7 3" xfId="5647"/>
    <cellStyle name="Normal 3 2 2 2 8" xfId="5648"/>
    <cellStyle name="Normal 3 2 2 2 8 2" xfId="5649"/>
    <cellStyle name="Normal 3 2 2 2 9" xfId="5650"/>
    <cellStyle name="Normal 3 2 2 2 9 2" xfId="5651"/>
    <cellStyle name="Normal 3 2 2 3" xfId="5652"/>
    <cellStyle name="Normal 3 2 2 3 2" xfId="5653"/>
    <cellStyle name="Normal 3 2 2 3 2 2" xfId="5654"/>
    <cellStyle name="Normal 3 2 2 3 2 2 2" xfId="5655"/>
    <cellStyle name="Normal 3 2 2 3 2 2 2 2" xfId="5656"/>
    <cellStyle name="Normal 3 2 2 3 2 2 2 2 2" xfId="5657"/>
    <cellStyle name="Normal 3 2 2 3 2 2 2 3" xfId="5658"/>
    <cellStyle name="Normal 3 2 2 3 2 2 2 3 2" xfId="5659"/>
    <cellStyle name="Normal 3 2 2 3 2 2 2 4" xfId="5660"/>
    <cellStyle name="Normal 3 2 2 3 2 2 3" xfId="5661"/>
    <cellStyle name="Normal 3 2 2 3 2 2 3 2" xfId="5662"/>
    <cellStyle name="Normal 3 2 2 3 2 2 3 2 2" xfId="5663"/>
    <cellStyle name="Normal 3 2 2 3 2 2 3 3" xfId="5664"/>
    <cellStyle name="Normal 3 2 2 3 2 2 4" xfId="5665"/>
    <cellStyle name="Normal 3 2 2 3 2 2 4 2" xfId="5666"/>
    <cellStyle name="Normal 3 2 2 3 2 2 5" xfId="5667"/>
    <cellStyle name="Normal 3 2 2 3 2 3" xfId="5668"/>
    <cellStyle name="Normal 3 2 2 3 2 3 2" xfId="5669"/>
    <cellStyle name="Normal 3 2 2 3 2 3 2 2" xfId="5670"/>
    <cellStyle name="Normal 3 2 2 3 2 3 2 2 2" xfId="5671"/>
    <cellStyle name="Normal 3 2 2 3 2 3 2 3" xfId="5672"/>
    <cellStyle name="Normal 3 2 2 3 2 3 3" xfId="5673"/>
    <cellStyle name="Normal 3 2 2 3 2 3 3 2" xfId="5674"/>
    <cellStyle name="Normal 3 2 2 3 2 3 4" xfId="5675"/>
    <cellStyle name="Normal 3 2 2 3 2 3 4 2" xfId="5676"/>
    <cellStyle name="Normal 3 2 2 3 2 3 5" xfId="5677"/>
    <cellStyle name="Normal 3 2 2 3 2 4" xfId="5678"/>
    <cellStyle name="Normal 3 2 2 3 2 4 2" xfId="5679"/>
    <cellStyle name="Normal 3 2 2 3 2 4 2 2" xfId="5680"/>
    <cellStyle name="Normal 3 2 2 3 2 4 3" xfId="5681"/>
    <cellStyle name="Normal 3 2 2 3 2 5" xfId="5682"/>
    <cellStyle name="Normal 3 2 2 3 2 5 2" xfId="5683"/>
    <cellStyle name="Normal 3 2 2 3 2 6" xfId="5684"/>
    <cellStyle name="Normal 3 2 2 3 3" xfId="5685"/>
    <cellStyle name="Normal 3 2 2 3 3 2" xfId="5686"/>
    <cellStyle name="Normal 3 2 2 3 3 2 2" xfId="5687"/>
    <cellStyle name="Normal 3 2 2 3 3 2 2 2" xfId="5688"/>
    <cellStyle name="Normal 3 2 2 3 3 2 3" xfId="5689"/>
    <cellStyle name="Normal 3 2 2 3 3 2 3 2" xfId="5690"/>
    <cellStyle name="Normal 3 2 2 3 3 2 4" xfId="5691"/>
    <cellStyle name="Normal 3 2 2 3 3 3" xfId="5692"/>
    <cellStyle name="Normal 3 2 2 3 3 3 2" xfId="5693"/>
    <cellStyle name="Normal 3 2 2 3 3 3 2 2" xfId="5694"/>
    <cellStyle name="Normal 3 2 2 3 3 3 3" xfId="5695"/>
    <cellStyle name="Normal 3 2 2 3 3 4" xfId="5696"/>
    <cellStyle name="Normal 3 2 2 3 3 4 2" xfId="5697"/>
    <cellStyle name="Normal 3 2 2 3 3 5" xfId="5698"/>
    <cellStyle name="Normal 3 2 2 3 4" xfId="5699"/>
    <cellStyle name="Normal 3 2 2 3 4 2" xfId="5700"/>
    <cellStyle name="Normal 3 2 2 3 4 2 2" xfId="5701"/>
    <cellStyle name="Normal 3 2 2 3 4 2 2 2" xfId="5702"/>
    <cellStyle name="Normal 3 2 2 3 4 2 3" xfId="5703"/>
    <cellStyle name="Normal 3 2 2 3 4 3" xfId="5704"/>
    <cellStyle name="Normal 3 2 2 3 4 3 2" xfId="5705"/>
    <cellStyle name="Normal 3 2 2 3 4 4" xfId="5706"/>
    <cellStyle name="Normal 3 2 2 3 5" xfId="5707"/>
    <cellStyle name="Normal 3 2 2 3 5 2" xfId="5708"/>
    <cellStyle name="Normal 3 2 2 3 5 2 2" xfId="5709"/>
    <cellStyle name="Normal 3 2 2 3 5 2 2 2" xfId="5710"/>
    <cellStyle name="Normal 3 2 2 3 5 2 3" xfId="5711"/>
    <cellStyle name="Normal 3 2 2 3 5 3" xfId="5712"/>
    <cellStyle name="Normal 3 2 2 3 5 3 2" xfId="5713"/>
    <cellStyle name="Normal 3 2 2 3 5 4" xfId="5714"/>
    <cellStyle name="Normal 3 2 2 3 5 4 2" xfId="5715"/>
    <cellStyle name="Normal 3 2 2 3 5 5" xfId="5716"/>
    <cellStyle name="Normal 3 2 2 3 6" xfId="5717"/>
    <cellStyle name="Normal 3 2 2 3 6 2" xfId="5718"/>
    <cellStyle name="Normal 3 2 2 3 6 2 2" xfId="5719"/>
    <cellStyle name="Normal 3 2 2 3 6 3" xfId="5720"/>
    <cellStyle name="Normal 3 2 2 3 7" xfId="5721"/>
    <cellStyle name="Normal 3 2 2 3 7 2" xfId="5722"/>
    <cellStyle name="Normal 3 2 2 3 8" xfId="5723"/>
    <cellStyle name="Normal 3 2 2 4" xfId="5724"/>
    <cellStyle name="Normal 3 2 2 4 2" xfId="5725"/>
    <cellStyle name="Normal 3 2 2 4 2 2" xfId="5726"/>
    <cellStyle name="Normal 3 2 2 4 2 2 2" xfId="5727"/>
    <cellStyle name="Normal 3 2 2 4 2 2 2 2" xfId="5728"/>
    <cellStyle name="Normal 3 2 2 4 2 2 3" xfId="5729"/>
    <cellStyle name="Normal 3 2 2 4 2 2 3 2" xfId="5730"/>
    <cellStyle name="Normal 3 2 2 4 2 2 4" xfId="5731"/>
    <cellStyle name="Normal 3 2 2 4 2 3" xfId="5732"/>
    <cellStyle name="Normal 3 2 2 4 2 3 2" xfId="5733"/>
    <cellStyle name="Normal 3 2 2 4 2 3 2 2" xfId="5734"/>
    <cellStyle name="Normal 3 2 2 4 2 3 3" xfId="5735"/>
    <cellStyle name="Normal 3 2 2 4 2 4" xfId="5736"/>
    <cellStyle name="Normal 3 2 2 4 2 4 2" xfId="5737"/>
    <cellStyle name="Normal 3 2 2 4 2 5" xfId="5738"/>
    <cellStyle name="Normal 3 2 2 4 3" xfId="5739"/>
    <cellStyle name="Normal 3 2 2 4 3 2" xfId="5740"/>
    <cellStyle name="Normal 3 2 2 4 3 2 2" xfId="5741"/>
    <cellStyle name="Normal 3 2 2 4 3 2 2 2" xfId="5742"/>
    <cellStyle name="Normal 3 2 2 4 3 2 3" xfId="5743"/>
    <cellStyle name="Normal 3 2 2 4 3 3" xfId="5744"/>
    <cellStyle name="Normal 3 2 2 4 3 3 2" xfId="5745"/>
    <cellStyle name="Normal 3 2 2 4 3 4" xfId="5746"/>
    <cellStyle name="Normal 3 2 2 4 3 4 2" xfId="5747"/>
    <cellStyle name="Normal 3 2 2 4 3 5" xfId="5748"/>
    <cellStyle name="Normal 3 2 2 4 4" xfId="5749"/>
    <cellStyle name="Normal 3 2 2 4 4 2" xfId="5750"/>
    <cellStyle name="Normal 3 2 2 4 4 2 2" xfId="5751"/>
    <cellStyle name="Normal 3 2 2 4 4 3" xfId="5752"/>
    <cellStyle name="Normal 3 2 2 4 5" xfId="5753"/>
    <cellStyle name="Normal 3 2 2 4 5 2" xfId="5754"/>
    <cellStyle name="Normal 3 2 2 4 6" xfId="5755"/>
    <cellStyle name="Normal 3 2 2 5" xfId="5756"/>
    <cellStyle name="Normal 3 2 2 5 2" xfId="5757"/>
    <cellStyle name="Normal 3 2 2 5 2 2" xfId="5758"/>
    <cellStyle name="Normal 3 2 2 5 2 2 2" xfId="5759"/>
    <cellStyle name="Normal 3 2 2 5 2 3" xfId="5760"/>
    <cellStyle name="Normal 3 2 2 5 2 3 2" xfId="5761"/>
    <cellStyle name="Normal 3 2 2 5 2 4" xfId="5762"/>
    <cellStyle name="Normal 3 2 2 5 3" xfId="5763"/>
    <cellStyle name="Normal 3 2 2 5 3 2" xfId="5764"/>
    <cellStyle name="Normal 3 2 2 5 3 2 2" xfId="5765"/>
    <cellStyle name="Normal 3 2 2 5 3 3" xfId="5766"/>
    <cellStyle name="Normal 3 2 2 5 4" xfId="5767"/>
    <cellStyle name="Normal 3 2 2 5 4 2" xfId="5768"/>
    <cellStyle name="Normal 3 2 2 5 5" xfId="5769"/>
    <cellStyle name="Normal 3 2 2 6" xfId="5770"/>
    <cellStyle name="Normal 3 2 2 6 2" xfId="5771"/>
    <cellStyle name="Normal 3 2 2 6 2 2" xfId="5772"/>
    <cellStyle name="Normal 3 2 2 6 2 2 2" xfId="5773"/>
    <cellStyle name="Normal 3 2 2 6 2 3" xfId="5774"/>
    <cellStyle name="Normal 3 2 2 6 3" xfId="5775"/>
    <cellStyle name="Normal 3 2 2 6 3 2" xfId="5776"/>
    <cellStyle name="Normal 3 2 2 6 4" xfId="5777"/>
    <cellStyle name="Normal 3 2 2 7" xfId="5778"/>
    <cellStyle name="Normal 3 2 2 7 2" xfId="5779"/>
    <cellStyle name="Normal 3 2 2 7 2 2" xfId="5780"/>
    <cellStyle name="Normal 3 2 2 7 2 2 2" xfId="5781"/>
    <cellStyle name="Normal 3 2 2 7 2 3" xfId="5782"/>
    <cellStyle name="Normal 3 2 2 7 3" xfId="5783"/>
    <cellStyle name="Normal 3 2 2 7 3 2" xfId="5784"/>
    <cellStyle name="Normal 3 2 2 7 4" xfId="5785"/>
    <cellStyle name="Normal 3 2 2 8" xfId="5786"/>
    <cellStyle name="Normal 3 2 2 8 2" xfId="5787"/>
    <cellStyle name="Normal 3 2 2 8 2 2" xfId="5788"/>
    <cellStyle name="Normal 3 2 2 8 3" xfId="5789"/>
    <cellStyle name="Normal 3 2 2 9" xfId="5790"/>
    <cellStyle name="Normal 3 2 2 9 2" xfId="5791"/>
    <cellStyle name="Normal 3 2 3" xfId="5792"/>
    <cellStyle name="Normal 3 2 3 10" xfId="5793"/>
    <cellStyle name="Normal 3 2 3 10 2" xfId="5794"/>
    <cellStyle name="Normal 3 2 3 11" xfId="5795"/>
    <cellStyle name="Normal 3 2 3 2" xfId="5796"/>
    <cellStyle name="Normal 3 2 3 2 10" xfId="5797"/>
    <cellStyle name="Normal 3 2 3 2 2" xfId="5798"/>
    <cellStyle name="Normal 3 2 3 2 2 2" xfId="5799"/>
    <cellStyle name="Normal 3 2 3 2 2 2 2" xfId="5800"/>
    <cellStyle name="Normal 3 2 3 2 2 2 2 2" xfId="5801"/>
    <cellStyle name="Normal 3 2 3 2 2 2 2 2 2" xfId="5802"/>
    <cellStyle name="Normal 3 2 3 2 2 2 2 2 2 2" xfId="5803"/>
    <cellStyle name="Normal 3 2 3 2 2 2 2 2 3" xfId="5804"/>
    <cellStyle name="Normal 3 2 3 2 2 2 2 2 3 2" xfId="5805"/>
    <cellStyle name="Normal 3 2 3 2 2 2 2 2 4" xfId="5806"/>
    <cellStyle name="Normal 3 2 3 2 2 2 2 3" xfId="5807"/>
    <cellStyle name="Normal 3 2 3 2 2 2 2 3 2" xfId="5808"/>
    <cellStyle name="Normal 3 2 3 2 2 2 2 3 2 2" xfId="5809"/>
    <cellStyle name="Normal 3 2 3 2 2 2 2 3 3" xfId="5810"/>
    <cellStyle name="Normal 3 2 3 2 2 2 2 4" xfId="5811"/>
    <cellStyle name="Normal 3 2 3 2 2 2 2 4 2" xfId="5812"/>
    <cellStyle name="Normal 3 2 3 2 2 2 2 5" xfId="5813"/>
    <cellStyle name="Normal 3 2 3 2 2 2 3" xfId="5814"/>
    <cellStyle name="Normal 3 2 3 2 2 2 3 2" xfId="5815"/>
    <cellStyle name="Normal 3 2 3 2 2 2 3 2 2" xfId="5816"/>
    <cellStyle name="Normal 3 2 3 2 2 2 3 2 2 2" xfId="5817"/>
    <cellStyle name="Normal 3 2 3 2 2 2 3 2 3" xfId="5818"/>
    <cellStyle name="Normal 3 2 3 2 2 2 3 3" xfId="5819"/>
    <cellStyle name="Normal 3 2 3 2 2 2 3 3 2" xfId="5820"/>
    <cellStyle name="Normal 3 2 3 2 2 2 3 4" xfId="5821"/>
    <cellStyle name="Normal 3 2 3 2 2 2 3 4 2" xfId="5822"/>
    <cellStyle name="Normal 3 2 3 2 2 2 3 5" xfId="5823"/>
    <cellStyle name="Normal 3 2 3 2 2 2 4" xfId="5824"/>
    <cellStyle name="Normal 3 2 3 2 2 2 4 2" xfId="5825"/>
    <cellStyle name="Normal 3 2 3 2 2 2 4 2 2" xfId="5826"/>
    <cellStyle name="Normal 3 2 3 2 2 2 4 3" xfId="5827"/>
    <cellStyle name="Normal 3 2 3 2 2 2 5" xfId="5828"/>
    <cellStyle name="Normal 3 2 3 2 2 2 5 2" xfId="5829"/>
    <cellStyle name="Normal 3 2 3 2 2 2 6" xfId="5830"/>
    <cellStyle name="Normal 3 2 3 2 2 3" xfId="5831"/>
    <cellStyle name="Normal 3 2 3 2 2 3 2" xfId="5832"/>
    <cellStyle name="Normal 3 2 3 2 2 3 2 2" xfId="5833"/>
    <cellStyle name="Normal 3 2 3 2 2 3 2 2 2" xfId="5834"/>
    <cellStyle name="Normal 3 2 3 2 2 3 2 3" xfId="5835"/>
    <cellStyle name="Normal 3 2 3 2 2 3 2 3 2" xfId="5836"/>
    <cellStyle name="Normal 3 2 3 2 2 3 2 4" xfId="5837"/>
    <cellStyle name="Normal 3 2 3 2 2 3 3" xfId="5838"/>
    <cellStyle name="Normal 3 2 3 2 2 3 3 2" xfId="5839"/>
    <cellStyle name="Normal 3 2 3 2 2 3 3 2 2" xfId="5840"/>
    <cellStyle name="Normal 3 2 3 2 2 3 3 3" xfId="5841"/>
    <cellStyle name="Normal 3 2 3 2 2 3 4" xfId="5842"/>
    <cellStyle name="Normal 3 2 3 2 2 3 4 2" xfId="5843"/>
    <cellStyle name="Normal 3 2 3 2 2 3 5" xfId="5844"/>
    <cellStyle name="Normal 3 2 3 2 2 4" xfId="5845"/>
    <cellStyle name="Normal 3 2 3 2 2 4 2" xfId="5846"/>
    <cellStyle name="Normal 3 2 3 2 2 4 2 2" xfId="5847"/>
    <cellStyle name="Normal 3 2 3 2 2 4 2 2 2" xfId="5848"/>
    <cellStyle name="Normal 3 2 3 2 2 4 2 3" xfId="5849"/>
    <cellStyle name="Normal 3 2 3 2 2 4 3" xfId="5850"/>
    <cellStyle name="Normal 3 2 3 2 2 4 3 2" xfId="5851"/>
    <cellStyle name="Normal 3 2 3 2 2 4 4" xfId="5852"/>
    <cellStyle name="Normal 3 2 3 2 2 5" xfId="5853"/>
    <cellStyle name="Normal 3 2 3 2 2 5 2" xfId="5854"/>
    <cellStyle name="Normal 3 2 3 2 2 5 2 2" xfId="5855"/>
    <cellStyle name="Normal 3 2 3 2 2 5 2 2 2" xfId="5856"/>
    <cellStyle name="Normal 3 2 3 2 2 5 2 3" xfId="5857"/>
    <cellStyle name="Normal 3 2 3 2 2 5 3" xfId="5858"/>
    <cellStyle name="Normal 3 2 3 2 2 5 3 2" xfId="5859"/>
    <cellStyle name="Normal 3 2 3 2 2 5 4" xfId="5860"/>
    <cellStyle name="Normal 3 2 3 2 2 5 4 2" xfId="5861"/>
    <cellStyle name="Normal 3 2 3 2 2 5 5" xfId="5862"/>
    <cellStyle name="Normal 3 2 3 2 2 6" xfId="5863"/>
    <cellStyle name="Normal 3 2 3 2 2 6 2" xfId="5864"/>
    <cellStyle name="Normal 3 2 3 2 2 6 2 2" xfId="5865"/>
    <cellStyle name="Normal 3 2 3 2 2 6 3" xfId="5866"/>
    <cellStyle name="Normal 3 2 3 2 2 7" xfId="5867"/>
    <cellStyle name="Normal 3 2 3 2 2 7 2" xfId="5868"/>
    <cellStyle name="Normal 3 2 3 2 2 8" xfId="5869"/>
    <cellStyle name="Normal 3 2 3 2 3" xfId="5870"/>
    <cellStyle name="Normal 3 2 3 2 3 2" xfId="5871"/>
    <cellStyle name="Normal 3 2 3 2 3 2 2" xfId="5872"/>
    <cellStyle name="Normal 3 2 3 2 3 2 2 2" xfId="5873"/>
    <cellStyle name="Normal 3 2 3 2 3 2 2 2 2" xfId="5874"/>
    <cellStyle name="Normal 3 2 3 2 3 2 2 3" xfId="5875"/>
    <cellStyle name="Normal 3 2 3 2 3 2 2 3 2" xfId="5876"/>
    <cellStyle name="Normal 3 2 3 2 3 2 2 4" xfId="5877"/>
    <cellStyle name="Normal 3 2 3 2 3 2 3" xfId="5878"/>
    <cellStyle name="Normal 3 2 3 2 3 2 3 2" xfId="5879"/>
    <cellStyle name="Normal 3 2 3 2 3 2 3 2 2" xfId="5880"/>
    <cellStyle name="Normal 3 2 3 2 3 2 3 3" xfId="5881"/>
    <cellStyle name="Normal 3 2 3 2 3 2 4" xfId="5882"/>
    <cellStyle name="Normal 3 2 3 2 3 2 4 2" xfId="5883"/>
    <cellStyle name="Normal 3 2 3 2 3 2 5" xfId="5884"/>
    <cellStyle name="Normal 3 2 3 2 3 3" xfId="5885"/>
    <cellStyle name="Normal 3 2 3 2 3 3 2" xfId="5886"/>
    <cellStyle name="Normal 3 2 3 2 3 3 2 2" xfId="5887"/>
    <cellStyle name="Normal 3 2 3 2 3 3 2 2 2" xfId="5888"/>
    <cellStyle name="Normal 3 2 3 2 3 3 2 3" xfId="5889"/>
    <cellStyle name="Normal 3 2 3 2 3 3 3" xfId="5890"/>
    <cellStyle name="Normal 3 2 3 2 3 3 3 2" xfId="5891"/>
    <cellStyle name="Normal 3 2 3 2 3 3 4" xfId="5892"/>
    <cellStyle name="Normal 3 2 3 2 3 3 4 2" xfId="5893"/>
    <cellStyle name="Normal 3 2 3 2 3 3 5" xfId="5894"/>
    <cellStyle name="Normal 3 2 3 2 3 4" xfId="5895"/>
    <cellStyle name="Normal 3 2 3 2 3 4 2" xfId="5896"/>
    <cellStyle name="Normal 3 2 3 2 3 4 2 2" xfId="5897"/>
    <cellStyle name="Normal 3 2 3 2 3 4 3" xfId="5898"/>
    <cellStyle name="Normal 3 2 3 2 3 5" xfId="5899"/>
    <cellStyle name="Normal 3 2 3 2 3 5 2" xfId="5900"/>
    <cellStyle name="Normal 3 2 3 2 3 6" xfId="5901"/>
    <cellStyle name="Normal 3 2 3 2 4" xfId="5902"/>
    <cellStyle name="Normal 3 2 3 2 4 2" xfId="5903"/>
    <cellStyle name="Normal 3 2 3 2 4 2 2" xfId="5904"/>
    <cellStyle name="Normal 3 2 3 2 4 2 2 2" xfId="5905"/>
    <cellStyle name="Normal 3 2 3 2 4 2 3" xfId="5906"/>
    <cellStyle name="Normal 3 2 3 2 4 2 3 2" xfId="5907"/>
    <cellStyle name="Normal 3 2 3 2 4 2 4" xfId="5908"/>
    <cellStyle name="Normal 3 2 3 2 4 3" xfId="5909"/>
    <cellStyle name="Normal 3 2 3 2 4 3 2" xfId="5910"/>
    <cellStyle name="Normal 3 2 3 2 4 3 2 2" xfId="5911"/>
    <cellStyle name="Normal 3 2 3 2 4 3 3" xfId="5912"/>
    <cellStyle name="Normal 3 2 3 2 4 4" xfId="5913"/>
    <cellStyle name="Normal 3 2 3 2 4 4 2" xfId="5914"/>
    <cellStyle name="Normal 3 2 3 2 4 5" xfId="5915"/>
    <cellStyle name="Normal 3 2 3 2 5" xfId="5916"/>
    <cellStyle name="Normal 3 2 3 2 5 2" xfId="5917"/>
    <cellStyle name="Normal 3 2 3 2 5 2 2" xfId="5918"/>
    <cellStyle name="Normal 3 2 3 2 5 2 2 2" xfId="5919"/>
    <cellStyle name="Normal 3 2 3 2 5 2 3" xfId="5920"/>
    <cellStyle name="Normal 3 2 3 2 5 3" xfId="5921"/>
    <cellStyle name="Normal 3 2 3 2 5 3 2" xfId="5922"/>
    <cellStyle name="Normal 3 2 3 2 5 4" xfId="5923"/>
    <cellStyle name="Normal 3 2 3 2 6" xfId="5924"/>
    <cellStyle name="Normal 3 2 3 2 6 2" xfId="5925"/>
    <cellStyle name="Normal 3 2 3 2 6 2 2" xfId="5926"/>
    <cellStyle name="Normal 3 2 3 2 6 2 2 2" xfId="5927"/>
    <cellStyle name="Normal 3 2 3 2 6 2 3" xfId="5928"/>
    <cellStyle name="Normal 3 2 3 2 6 3" xfId="5929"/>
    <cellStyle name="Normal 3 2 3 2 6 3 2" xfId="5930"/>
    <cellStyle name="Normal 3 2 3 2 6 4" xfId="5931"/>
    <cellStyle name="Normal 3 2 3 2 7" xfId="5932"/>
    <cellStyle name="Normal 3 2 3 2 7 2" xfId="5933"/>
    <cellStyle name="Normal 3 2 3 2 7 2 2" xfId="5934"/>
    <cellStyle name="Normal 3 2 3 2 7 3" xfId="5935"/>
    <cellStyle name="Normal 3 2 3 2 8" xfId="5936"/>
    <cellStyle name="Normal 3 2 3 2 8 2" xfId="5937"/>
    <cellStyle name="Normal 3 2 3 2 9" xfId="5938"/>
    <cellStyle name="Normal 3 2 3 2 9 2" xfId="5939"/>
    <cellStyle name="Normal 3 2 3 3" xfId="5940"/>
    <cellStyle name="Normal 3 2 3 3 2" xfId="5941"/>
    <cellStyle name="Normal 3 2 3 3 2 2" xfId="5942"/>
    <cellStyle name="Normal 3 2 3 3 2 2 2" xfId="5943"/>
    <cellStyle name="Normal 3 2 3 3 2 2 2 2" xfId="5944"/>
    <cellStyle name="Normal 3 2 3 3 2 2 2 2 2" xfId="5945"/>
    <cellStyle name="Normal 3 2 3 3 2 2 2 3" xfId="5946"/>
    <cellStyle name="Normal 3 2 3 3 2 2 2 3 2" xfId="5947"/>
    <cellStyle name="Normal 3 2 3 3 2 2 2 4" xfId="5948"/>
    <cellStyle name="Normal 3 2 3 3 2 2 3" xfId="5949"/>
    <cellStyle name="Normal 3 2 3 3 2 2 3 2" xfId="5950"/>
    <cellStyle name="Normal 3 2 3 3 2 2 3 2 2" xfId="5951"/>
    <cellStyle name="Normal 3 2 3 3 2 2 3 3" xfId="5952"/>
    <cellStyle name="Normal 3 2 3 3 2 2 4" xfId="5953"/>
    <cellStyle name="Normal 3 2 3 3 2 2 4 2" xfId="5954"/>
    <cellStyle name="Normal 3 2 3 3 2 2 5" xfId="5955"/>
    <cellStyle name="Normal 3 2 3 3 2 3" xfId="5956"/>
    <cellStyle name="Normal 3 2 3 3 2 3 2" xfId="5957"/>
    <cellStyle name="Normal 3 2 3 3 2 3 2 2" xfId="5958"/>
    <cellStyle name="Normal 3 2 3 3 2 3 2 2 2" xfId="5959"/>
    <cellStyle name="Normal 3 2 3 3 2 3 2 3" xfId="5960"/>
    <cellStyle name="Normal 3 2 3 3 2 3 3" xfId="5961"/>
    <cellStyle name="Normal 3 2 3 3 2 3 3 2" xfId="5962"/>
    <cellStyle name="Normal 3 2 3 3 2 3 4" xfId="5963"/>
    <cellStyle name="Normal 3 2 3 3 2 3 4 2" xfId="5964"/>
    <cellStyle name="Normal 3 2 3 3 2 3 5" xfId="5965"/>
    <cellStyle name="Normal 3 2 3 3 2 4" xfId="5966"/>
    <cellStyle name="Normal 3 2 3 3 2 4 2" xfId="5967"/>
    <cellStyle name="Normal 3 2 3 3 2 4 2 2" xfId="5968"/>
    <cellStyle name="Normal 3 2 3 3 2 4 3" xfId="5969"/>
    <cellStyle name="Normal 3 2 3 3 2 5" xfId="5970"/>
    <cellStyle name="Normal 3 2 3 3 2 5 2" xfId="5971"/>
    <cellStyle name="Normal 3 2 3 3 2 6" xfId="5972"/>
    <cellStyle name="Normal 3 2 3 3 3" xfId="5973"/>
    <cellStyle name="Normal 3 2 3 3 3 2" xfId="5974"/>
    <cellStyle name="Normal 3 2 3 3 3 2 2" xfId="5975"/>
    <cellStyle name="Normal 3 2 3 3 3 2 2 2" xfId="5976"/>
    <cellStyle name="Normal 3 2 3 3 3 2 3" xfId="5977"/>
    <cellStyle name="Normal 3 2 3 3 3 2 3 2" xfId="5978"/>
    <cellStyle name="Normal 3 2 3 3 3 2 4" xfId="5979"/>
    <cellStyle name="Normal 3 2 3 3 3 3" xfId="5980"/>
    <cellStyle name="Normal 3 2 3 3 3 3 2" xfId="5981"/>
    <cellStyle name="Normal 3 2 3 3 3 3 2 2" xfId="5982"/>
    <cellStyle name="Normal 3 2 3 3 3 3 3" xfId="5983"/>
    <cellStyle name="Normal 3 2 3 3 3 4" xfId="5984"/>
    <cellStyle name="Normal 3 2 3 3 3 4 2" xfId="5985"/>
    <cellStyle name="Normal 3 2 3 3 3 5" xfId="5986"/>
    <cellStyle name="Normal 3 2 3 3 4" xfId="5987"/>
    <cellStyle name="Normal 3 2 3 3 4 2" xfId="5988"/>
    <cellStyle name="Normal 3 2 3 3 4 2 2" xfId="5989"/>
    <cellStyle name="Normal 3 2 3 3 4 2 2 2" xfId="5990"/>
    <cellStyle name="Normal 3 2 3 3 4 2 3" xfId="5991"/>
    <cellStyle name="Normal 3 2 3 3 4 3" xfId="5992"/>
    <cellStyle name="Normal 3 2 3 3 4 3 2" xfId="5993"/>
    <cellStyle name="Normal 3 2 3 3 4 4" xfId="5994"/>
    <cellStyle name="Normal 3 2 3 3 5" xfId="5995"/>
    <cellStyle name="Normal 3 2 3 3 5 2" xfId="5996"/>
    <cellStyle name="Normal 3 2 3 3 5 2 2" xfId="5997"/>
    <cellStyle name="Normal 3 2 3 3 5 2 2 2" xfId="5998"/>
    <cellStyle name="Normal 3 2 3 3 5 2 3" xfId="5999"/>
    <cellStyle name="Normal 3 2 3 3 5 3" xfId="6000"/>
    <cellStyle name="Normal 3 2 3 3 5 3 2" xfId="6001"/>
    <cellStyle name="Normal 3 2 3 3 5 4" xfId="6002"/>
    <cellStyle name="Normal 3 2 3 3 5 4 2" xfId="6003"/>
    <cellStyle name="Normal 3 2 3 3 5 5" xfId="6004"/>
    <cellStyle name="Normal 3 2 3 3 6" xfId="6005"/>
    <cellStyle name="Normal 3 2 3 3 6 2" xfId="6006"/>
    <cellStyle name="Normal 3 2 3 3 6 2 2" xfId="6007"/>
    <cellStyle name="Normal 3 2 3 3 6 3" xfId="6008"/>
    <cellStyle name="Normal 3 2 3 3 7" xfId="6009"/>
    <cellStyle name="Normal 3 2 3 3 7 2" xfId="6010"/>
    <cellStyle name="Normal 3 2 3 3 8" xfId="6011"/>
    <cellStyle name="Normal 3 2 3 4" xfId="6012"/>
    <cellStyle name="Normal 3 2 3 4 2" xfId="6013"/>
    <cellStyle name="Normal 3 2 3 4 2 2" xfId="6014"/>
    <cellStyle name="Normal 3 2 3 4 2 2 2" xfId="6015"/>
    <cellStyle name="Normal 3 2 3 4 2 2 2 2" xfId="6016"/>
    <cellStyle name="Normal 3 2 3 4 2 2 3" xfId="6017"/>
    <cellStyle name="Normal 3 2 3 4 2 2 3 2" xfId="6018"/>
    <cellStyle name="Normal 3 2 3 4 2 2 4" xfId="6019"/>
    <cellStyle name="Normal 3 2 3 4 2 3" xfId="6020"/>
    <cellStyle name="Normal 3 2 3 4 2 3 2" xfId="6021"/>
    <cellStyle name="Normal 3 2 3 4 2 3 2 2" xfId="6022"/>
    <cellStyle name="Normal 3 2 3 4 2 3 3" xfId="6023"/>
    <cellStyle name="Normal 3 2 3 4 2 4" xfId="6024"/>
    <cellStyle name="Normal 3 2 3 4 2 4 2" xfId="6025"/>
    <cellStyle name="Normal 3 2 3 4 2 5" xfId="6026"/>
    <cellStyle name="Normal 3 2 3 4 3" xfId="6027"/>
    <cellStyle name="Normal 3 2 3 4 3 2" xfId="6028"/>
    <cellStyle name="Normal 3 2 3 4 3 2 2" xfId="6029"/>
    <cellStyle name="Normal 3 2 3 4 3 2 2 2" xfId="6030"/>
    <cellStyle name="Normal 3 2 3 4 3 2 3" xfId="6031"/>
    <cellStyle name="Normal 3 2 3 4 3 3" xfId="6032"/>
    <cellStyle name="Normal 3 2 3 4 3 3 2" xfId="6033"/>
    <cellStyle name="Normal 3 2 3 4 3 4" xfId="6034"/>
    <cellStyle name="Normal 3 2 3 4 3 4 2" xfId="6035"/>
    <cellStyle name="Normal 3 2 3 4 3 5" xfId="6036"/>
    <cellStyle name="Normal 3 2 3 4 4" xfId="6037"/>
    <cellStyle name="Normal 3 2 3 4 4 2" xfId="6038"/>
    <cellStyle name="Normal 3 2 3 4 4 2 2" xfId="6039"/>
    <cellStyle name="Normal 3 2 3 4 4 3" xfId="6040"/>
    <cellStyle name="Normal 3 2 3 4 5" xfId="6041"/>
    <cellStyle name="Normal 3 2 3 4 5 2" xfId="6042"/>
    <cellStyle name="Normal 3 2 3 4 6" xfId="6043"/>
    <cellStyle name="Normal 3 2 3 5" xfId="6044"/>
    <cellStyle name="Normal 3 2 3 5 2" xfId="6045"/>
    <cellStyle name="Normal 3 2 3 5 2 2" xfId="6046"/>
    <cellStyle name="Normal 3 2 3 5 2 2 2" xfId="6047"/>
    <cellStyle name="Normal 3 2 3 5 2 3" xfId="6048"/>
    <cellStyle name="Normal 3 2 3 5 2 3 2" xfId="6049"/>
    <cellStyle name="Normal 3 2 3 5 2 4" xfId="6050"/>
    <cellStyle name="Normal 3 2 3 5 3" xfId="6051"/>
    <cellStyle name="Normal 3 2 3 5 3 2" xfId="6052"/>
    <cellStyle name="Normal 3 2 3 5 3 2 2" xfId="6053"/>
    <cellStyle name="Normal 3 2 3 5 3 3" xfId="6054"/>
    <cellStyle name="Normal 3 2 3 5 4" xfId="6055"/>
    <cellStyle name="Normal 3 2 3 5 4 2" xfId="6056"/>
    <cellStyle name="Normal 3 2 3 5 5" xfId="6057"/>
    <cellStyle name="Normal 3 2 3 6" xfId="6058"/>
    <cellStyle name="Normal 3 2 3 6 2" xfId="6059"/>
    <cellStyle name="Normal 3 2 3 6 2 2" xfId="6060"/>
    <cellStyle name="Normal 3 2 3 6 2 2 2" xfId="6061"/>
    <cellStyle name="Normal 3 2 3 6 2 3" xfId="6062"/>
    <cellStyle name="Normal 3 2 3 6 3" xfId="6063"/>
    <cellStyle name="Normal 3 2 3 6 3 2" xfId="6064"/>
    <cellStyle name="Normal 3 2 3 6 4" xfId="6065"/>
    <cellStyle name="Normal 3 2 3 7" xfId="6066"/>
    <cellStyle name="Normal 3 2 3 7 2" xfId="6067"/>
    <cellStyle name="Normal 3 2 3 7 2 2" xfId="6068"/>
    <cellStyle name="Normal 3 2 3 7 2 2 2" xfId="6069"/>
    <cellStyle name="Normal 3 2 3 7 2 3" xfId="6070"/>
    <cellStyle name="Normal 3 2 3 7 3" xfId="6071"/>
    <cellStyle name="Normal 3 2 3 7 3 2" xfId="6072"/>
    <cellStyle name="Normal 3 2 3 7 4" xfId="6073"/>
    <cellStyle name="Normal 3 2 3 8" xfId="6074"/>
    <cellStyle name="Normal 3 2 3 8 2" xfId="6075"/>
    <cellStyle name="Normal 3 2 3 8 2 2" xfId="6076"/>
    <cellStyle name="Normal 3 2 3 8 3" xfId="6077"/>
    <cellStyle name="Normal 3 2 3 9" xfId="6078"/>
    <cellStyle name="Normal 3 2 3 9 2" xfId="6079"/>
    <cellStyle name="Normal 3 2 4" xfId="6080"/>
    <cellStyle name="Normal 3 2 4 10" xfId="6081"/>
    <cellStyle name="Normal 3 2 4 2" xfId="6082"/>
    <cellStyle name="Normal 3 2 4 2 2" xfId="6083"/>
    <cellStyle name="Normal 3 2 4 2 2 2" xfId="6084"/>
    <cellStyle name="Normal 3 2 4 2 2 2 2" xfId="6085"/>
    <cellStyle name="Normal 3 2 4 2 2 2 2 2" xfId="6086"/>
    <cellStyle name="Normal 3 2 4 2 2 2 2 2 2" xfId="6087"/>
    <cellStyle name="Normal 3 2 4 2 2 2 2 3" xfId="6088"/>
    <cellStyle name="Normal 3 2 4 2 2 2 2 3 2" xfId="6089"/>
    <cellStyle name="Normal 3 2 4 2 2 2 2 4" xfId="6090"/>
    <cellStyle name="Normal 3 2 4 2 2 2 3" xfId="6091"/>
    <cellStyle name="Normal 3 2 4 2 2 2 3 2" xfId="6092"/>
    <cellStyle name="Normal 3 2 4 2 2 2 3 2 2" xfId="6093"/>
    <cellStyle name="Normal 3 2 4 2 2 2 3 3" xfId="6094"/>
    <cellStyle name="Normal 3 2 4 2 2 2 4" xfId="6095"/>
    <cellStyle name="Normal 3 2 4 2 2 2 4 2" xfId="6096"/>
    <cellStyle name="Normal 3 2 4 2 2 2 5" xfId="6097"/>
    <cellStyle name="Normal 3 2 4 2 2 3" xfId="6098"/>
    <cellStyle name="Normal 3 2 4 2 2 3 2" xfId="6099"/>
    <cellStyle name="Normal 3 2 4 2 2 3 2 2" xfId="6100"/>
    <cellStyle name="Normal 3 2 4 2 2 3 2 2 2" xfId="6101"/>
    <cellStyle name="Normal 3 2 4 2 2 3 2 3" xfId="6102"/>
    <cellStyle name="Normal 3 2 4 2 2 3 3" xfId="6103"/>
    <cellStyle name="Normal 3 2 4 2 2 3 3 2" xfId="6104"/>
    <cellStyle name="Normal 3 2 4 2 2 3 4" xfId="6105"/>
    <cellStyle name="Normal 3 2 4 2 2 3 4 2" xfId="6106"/>
    <cellStyle name="Normal 3 2 4 2 2 3 5" xfId="6107"/>
    <cellStyle name="Normal 3 2 4 2 2 4" xfId="6108"/>
    <cellStyle name="Normal 3 2 4 2 2 4 2" xfId="6109"/>
    <cellStyle name="Normal 3 2 4 2 2 4 2 2" xfId="6110"/>
    <cellStyle name="Normal 3 2 4 2 2 4 3" xfId="6111"/>
    <cellStyle name="Normal 3 2 4 2 2 5" xfId="6112"/>
    <cellStyle name="Normal 3 2 4 2 2 5 2" xfId="6113"/>
    <cellStyle name="Normal 3 2 4 2 2 6" xfId="6114"/>
    <cellStyle name="Normal 3 2 4 2 3" xfId="6115"/>
    <cellStyle name="Normal 3 2 4 2 3 2" xfId="6116"/>
    <cellStyle name="Normal 3 2 4 2 3 2 2" xfId="6117"/>
    <cellStyle name="Normal 3 2 4 2 3 2 2 2" xfId="6118"/>
    <cellStyle name="Normal 3 2 4 2 3 2 3" xfId="6119"/>
    <cellStyle name="Normal 3 2 4 2 3 2 3 2" xfId="6120"/>
    <cellStyle name="Normal 3 2 4 2 3 2 4" xfId="6121"/>
    <cellStyle name="Normal 3 2 4 2 3 3" xfId="6122"/>
    <cellStyle name="Normal 3 2 4 2 3 3 2" xfId="6123"/>
    <cellStyle name="Normal 3 2 4 2 3 3 2 2" xfId="6124"/>
    <cellStyle name="Normal 3 2 4 2 3 3 3" xfId="6125"/>
    <cellStyle name="Normal 3 2 4 2 3 4" xfId="6126"/>
    <cellStyle name="Normal 3 2 4 2 3 4 2" xfId="6127"/>
    <cellStyle name="Normal 3 2 4 2 3 5" xfId="6128"/>
    <cellStyle name="Normal 3 2 4 2 4" xfId="6129"/>
    <cellStyle name="Normal 3 2 4 2 4 2" xfId="6130"/>
    <cellStyle name="Normal 3 2 4 2 4 2 2" xfId="6131"/>
    <cellStyle name="Normal 3 2 4 2 4 2 2 2" xfId="6132"/>
    <cellStyle name="Normal 3 2 4 2 4 2 3" xfId="6133"/>
    <cellStyle name="Normal 3 2 4 2 4 3" xfId="6134"/>
    <cellStyle name="Normal 3 2 4 2 4 3 2" xfId="6135"/>
    <cellStyle name="Normal 3 2 4 2 4 4" xfId="6136"/>
    <cellStyle name="Normal 3 2 4 2 5" xfId="6137"/>
    <cellStyle name="Normal 3 2 4 2 5 2" xfId="6138"/>
    <cellStyle name="Normal 3 2 4 2 5 2 2" xfId="6139"/>
    <cellStyle name="Normal 3 2 4 2 5 2 2 2" xfId="6140"/>
    <cellStyle name="Normal 3 2 4 2 5 2 3" xfId="6141"/>
    <cellStyle name="Normal 3 2 4 2 5 3" xfId="6142"/>
    <cellStyle name="Normal 3 2 4 2 5 3 2" xfId="6143"/>
    <cellStyle name="Normal 3 2 4 2 5 4" xfId="6144"/>
    <cellStyle name="Normal 3 2 4 2 5 4 2" xfId="6145"/>
    <cellStyle name="Normal 3 2 4 2 5 5" xfId="6146"/>
    <cellStyle name="Normal 3 2 4 2 6" xfId="6147"/>
    <cellStyle name="Normal 3 2 4 2 6 2" xfId="6148"/>
    <cellStyle name="Normal 3 2 4 2 6 2 2" xfId="6149"/>
    <cellStyle name="Normal 3 2 4 2 6 3" xfId="6150"/>
    <cellStyle name="Normal 3 2 4 2 7" xfId="6151"/>
    <cellStyle name="Normal 3 2 4 2 7 2" xfId="6152"/>
    <cellStyle name="Normal 3 2 4 2 8" xfId="6153"/>
    <cellStyle name="Normal 3 2 4 3" xfId="6154"/>
    <cellStyle name="Normal 3 2 4 3 2" xfId="6155"/>
    <cellStyle name="Normal 3 2 4 3 2 2" xfId="6156"/>
    <cellStyle name="Normal 3 2 4 3 2 2 2" xfId="6157"/>
    <cellStyle name="Normal 3 2 4 3 2 2 2 2" xfId="6158"/>
    <cellStyle name="Normal 3 2 4 3 2 2 3" xfId="6159"/>
    <cellStyle name="Normal 3 2 4 3 2 2 3 2" xfId="6160"/>
    <cellStyle name="Normal 3 2 4 3 2 2 4" xfId="6161"/>
    <cellStyle name="Normal 3 2 4 3 2 3" xfId="6162"/>
    <cellStyle name="Normal 3 2 4 3 2 3 2" xfId="6163"/>
    <cellStyle name="Normal 3 2 4 3 2 3 2 2" xfId="6164"/>
    <cellStyle name="Normal 3 2 4 3 2 3 3" xfId="6165"/>
    <cellStyle name="Normal 3 2 4 3 2 4" xfId="6166"/>
    <cellStyle name="Normal 3 2 4 3 2 4 2" xfId="6167"/>
    <cellStyle name="Normal 3 2 4 3 2 5" xfId="6168"/>
    <cellStyle name="Normal 3 2 4 3 3" xfId="6169"/>
    <cellStyle name="Normal 3 2 4 3 3 2" xfId="6170"/>
    <cellStyle name="Normal 3 2 4 3 3 2 2" xfId="6171"/>
    <cellStyle name="Normal 3 2 4 3 3 2 2 2" xfId="6172"/>
    <cellStyle name="Normal 3 2 4 3 3 2 3" xfId="6173"/>
    <cellStyle name="Normal 3 2 4 3 3 3" xfId="6174"/>
    <cellStyle name="Normal 3 2 4 3 3 3 2" xfId="6175"/>
    <cellStyle name="Normal 3 2 4 3 3 4" xfId="6176"/>
    <cellStyle name="Normal 3 2 4 3 3 4 2" xfId="6177"/>
    <cellStyle name="Normal 3 2 4 3 3 5" xfId="6178"/>
    <cellStyle name="Normal 3 2 4 3 4" xfId="6179"/>
    <cellStyle name="Normal 3 2 4 3 4 2" xfId="6180"/>
    <cellStyle name="Normal 3 2 4 3 4 2 2" xfId="6181"/>
    <cellStyle name="Normal 3 2 4 3 4 3" xfId="6182"/>
    <cellStyle name="Normal 3 2 4 3 5" xfId="6183"/>
    <cellStyle name="Normal 3 2 4 3 5 2" xfId="6184"/>
    <cellStyle name="Normal 3 2 4 3 6" xfId="6185"/>
    <cellStyle name="Normal 3 2 4 4" xfId="6186"/>
    <cellStyle name="Normal 3 2 4 4 2" xfId="6187"/>
    <cellStyle name="Normal 3 2 4 4 2 2" xfId="6188"/>
    <cellStyle name="Normal 3 2 4 4 2 2 2" xfId="6189"/>
    <cellStyle name="Normal 3 2 4 4 2 3" xfId="6190"/>
    <cellStyle name="Normal 3 2 4 4 2 3 2" xfId="6191"/>
    <cellStyle name="Normal 3 2 4 4 2 4" xfId="6192"/>
    <cellStyle name="Normal 3 2 4 4 3" xfId="6193"/>
    <cellStyle name="Normal 3 2 4 4 3 2" xfId="6194"/>
    <cellStyle name="Normal 3 2 4 4 3 2 2" xfId="6195"/>
    <cellStyle name="Normal 3 2 4 4 3 3" xfId="6196"/>
    <cellStyle name="Normal 3 2 4 4 4" xfId="6197"/>
    <cellStyle name="Normal 3 2 4 4 4 2" xfId="6198"/>
    <cellStyle name="Normal 3 2 4 4 5" xfId="6199"/>
    <cellStyle name="Normal 3 2 4 5" xfId="6200"/>
    <cellStyle name="Normal 3 2 4 5 2" xfId="6201"/>
    <cellStyle name="Normal 3 2 4 5 2 2" xfId="6202"/>
    <cellStyle name="Normal 3 2 4 5 2 2 2" xfId="6203"/>
    <cellStyle name="Normal 3 2 4 5 2 3" xfId="6204"/>
    <cellStyle name="Normal 3 2 4 5 3" xfId="6205"/>
    <cellStyle name="Normal 3 2 4 5 3 2" xfId="6206"/>
    <cellStyle name="Normal 3 2 4 5 4" xfId="6207"/>
    <cellStyle name="Normal 3 2 4 6" xfId="6208"/>
    <cellStyle name="Normal 3 2 4 6 2" xfId="6209"/>
    <cellStyle name="Normal 3 2 4 6 2 2" xfId="6210"/>
    <cellStyle name="Normal 3 2 4 6 2 2 2" xfId="6211"/>
    <cellStyle name="Normal 3 2 4 6 2 3" xfId="6212"/>
    <cellStyle name="Normal 3 2 4 6 3" xfId="6213"/>
    <cellStyle name="Normal 3 2 4 6 3 2" xfId="6214"/>
    <cellStyle name="Normal 3 2 4 6 4" xfId="6215"/>
    <cellStyle name="Normal 3 2 4 7" xfId="6216"/>
    <cellStyle name="Normal 3 2 4 7 2" xfId="6217"/>
    <cellStyle name="Normal 3 2 4 7 2 2" xfId="6218"/>
    <cellStyle name="Normal 3 2 4 7 3" xfId="6219"/>
    <cellStyle name="Normal 3 2 4 8" xfId="6220"/>
    <cellStyle name="Normal 3 2 4 8 2" xfId="6221"/>
    <cellStyle name="Normal 3 2 4 9" xfId="6222"/>
    <cellStyle name="Normal 3 2 4 9 2" xfId="6223"/>
    <cellStyle name="Normal 3 2 5" xfId="6224"/>
    <cellStyle name="Normal 3 2 5 2" xfId="6225"/>
    <cellStyle name="Normal 3 2 5 2 2" xfId="6226"/>
    <cellStyle name="Normal 3 2 5 2 2 2" xfId="6227"/>
    <cellStyle name="Normal 3 2 5 2 2 2 2" xfId="6228"/>
    <cellStyle name="Normal 3 2 5 2 2 2 2 2" xfId="6229"/>
    <cellStyle name="Normal 3 2 5 2 2 2 3" xfId="6230"/>
    <cellStyle name="Normal 3 2 5 2 2 2 3 2" xfId="6231"/>
    <cellStyle name="Normal 3 2 5 2 2 2 4" xfId="6232"/>
    <cellStyle name="Normal 3 2 5 2 2 3" xfId="6233"/>
    <cellStyle name="Normal 3 2 5 2 2 3 2" xfId="6234"/>
    <cellStyle name="Normal 3 2 5 2 2 3 2 2" xfId="6235"/>
    <cellStyle name="Normal 3 2 5 2 2 3 3" xfId="6236"/>
    <cellStyle name="Normal 3 2 5 2 2 4" xfId="6237"/>
    <cellStyle name="Normal 3 2 5 2 2 4 2" xfId="6238"/>
    <cellStyle name="Normal 3 2 5 2 2 5" xfId="6239"/>
    <cellStyle name="Normal 3 2 5 2 3" xfId="6240"/>
    <cellStyle name="Normal 3 2 5 2 3 2" xfId="6241"/>
    <cellStyle name="Normal 3 2 5 2 3 2 2" xfId="6242"/>
    <cellStyle name="Normal 3 2 5 2 3 2 2 2" xfId="6243"/>
    <cellStyle name="Normal 3 2 5 2 3 2 3" xfId="6244"/>
    <cellStyle name="Normal 3 2 5 2 3 3" xfId="6245"/>
    <cellStyle name="Normal 3 2 5 2 3 3 2" xfId="6246"/>
    <cellStyle name="Normal 3 2 5 2 3 4" xfId="6247"/>
    <cellStyle name="Normal 3 2 5 2 3 4 2" xfId="6248"/>
    <cellStyle name="Normal 3 2 5 2 3 5" xfId="6249"/>
    <cellStyle name="Normal 3 2 5 2 4" xfId="6250"/>
    <cellStyle name="Normal 3 2 5 2 4 2" xfId="6251"/>
    <cellStyle name="Normal 3 2 5 2 4 2 2" xfId="6252"/>
    <cellStyle name="Normal 3 2 5 2 4 3" xfId="6253"/>
    <cellStyle name="Normal 3 2 5 2 5" xfId="6254"/>
    <cellStyle name="Normal 3 2 5 2 5 2" xfId="6255"/>
    <cellStyle name="Normal 3 2 5 2 6" xfId="6256"/>
    <cellStyle name="Normal 3 2 5 3" xfId="6257"/>
    <cellStyle name="Normal 3 2 5 3 2" xfId="6258"/>
    <cellStyle name="Normal 3 2 5 3 2 2" xfId="6259"/>
    <cellStyle name="Normal 3 2 5 3 2 2 2" xfId="6260"/>
    <cellStyle name="Normal 3 2 5 3 2 3" xfId="6261"/>
    <cellStyle name="Normal 3 2 5 3 2 3 2" xfId="6262"/>
    <cellStyle name="Normal 3 2 5 3 2 4" xfId="6263"/>
    <cellStyle name="Normal 3 2 5 3 3" xfId="6264"/>
    <cellStyle name="Normal 3 2 5 3 3 2" xfId="6265"/>
    <cellStyle name="Normal 3 2 5 3 3 2 2" xfId="6266"/>
    <cellStyle name="Normal 3 2 5 3 3 3" xfId="6267"/>
    <cellStyle name="Normal 3 2 5 3 4" xfId="6268"/>
    <cellStyle name="Normal 3 2 5 3 4 2" xfId="6269"/>
    <cellStyle name="Normal 3 2 5 3 5" xfId="6270"/>
    <cellStyle name="Normal 3 2 5 4" xfId="6271"/>
    <cellStyle name="Normal 3 2 5 4 2" xfId="6272"/>
    <cellStyle name="Normal 3 2 5 4 2 2" xfId="6273"/>
    <cellStyle name="Normal 3 2 5 4 2 2 2" xfId="6274"/>
    <cellStyle name="Normal 3 2 5 4 2 3" xfId="6275"/>
    <cellStyle name="Normal 3 2 5 4 3" xfId="6276"/>
    <cellStyle name="Normal 3 2 5 4 3 2" xfId="6277"/>
    <cellStyle name="Normal 3 2 5 4 4" xfId="6278"/>
    <cellStyle name="Normal 3 2 5 5" xfId="6279"/>
    <cellStyle name="Normal 3 2 5 5 2" xfId="6280"/>
    <cellStyle name="Normal 3 2 5 5 2 2" xfId="6281"/>
    <cellStyle name="Normal 3 2 5 5 2 2 2" xfId="6282"/>
    <cellStyle name="Normal 3 2 5 5 2 3" xfId="6283"/>
    <cellStyle name="Normal 3 2 5 5 3" xfId="6284"/>
    <cellStyle name="Normal 3 2 5 5 3 2" xfId="6285"/>
    <cellStyle name="Normal 3 2 5 5 4" xfId="6286"/>
    <cellStyle name="Normal 3 2 5 5 4 2" xfId="6287"/>
    <cellStyle name="Normal 3 2 5 5 5" xfId="6288"/>
    <cellStyle name="Normal 3 2 5 6" xfId="6289"/>
    <cellStyle name="Normal 3 2 5 6 2" xfId="6290"/>
    <cellStyle name="Normal 3 2 5 6 2 2" xfId="6291"/>
    <cellStyle name="Normal 3 2 5 6 3" xfId="6292"/>
    <cellStyle name="Normal 3 2 5 7" xfId="6293"/>
    <cellStyle name="Normal 3 2 5 7 2" xfId="6294"/>
    <cellStyle name="Normal 3 2 5 8" xfId="6295"/>
    <cellStyle name="Normal 3 2 6" xfId="6296"/>
    <cellStyle name="Normal 3 2 6 2" xfId="6297"/>
    <cellStyle name="Normal 3 2 6 2 2" xfId="6298"/>
    <cellStyle name="Normal 3 2 6 2 2 2" xfId="6299"/>
    <cellStyle name="Normal 3 2 6 2 2 2 2" xfId="6300"/>
    <cellStyle name="Normal 3 2 6 2 2 3" xfId="6301"/>
    <cellStyle name="Normal 3 2 6 2 2 3 2" xfId="6302"/>
    <cellStyle name="Normal 3 2 6 2 2 4" xfId="6303"/>
    <cellStyle name="Normal 3 2 6 2 3" xfId="6304"/>
    <cellStyle name="Normal 3 2 6 2 3 2" xfId="6305"/>
    <cellStyle name="Normal 3 2 6 2 3 2 2" xfId="6306"/>
    <cellStyle name="Normal 3 2 6 2 3 3" xfId="6307"/>
    <cellStyle name="Normal 3 2 6 2 4" xfId="6308"/>
    <cellStyle name="Normal 3 2 6 2 4 2" xfId="6309"/>
    <cellStyle name="Normal 3 2 6 2 5" xfId="6310"/>
    <cellStyle name="Normal 3 2 6 3" xfId="6311"/>
    <cellStyle name="Normal 3 2 6 3 2" xfId="6312"/>
    <cellStyle name="Normal 3 2 6 3 2 2" xfId="6313"/>
    <cellStyle name="Normal 3 2 6 3 2 2 2" xfId="6314"/>
    <cellStyle name="Normal 3 2 6 3 2 3" xfId="6315"/>
    <cellStyle name="Normal 3 2 6 3 3" xfId="6316"/>
    <cellStyle name="Normal 3 2 6 3 3 2" xfId="6317"/>
    <cellStyle name="Normal 3 2 6 3 4" xfId="6318"/>
    <cellStyle name="Normal 3 2 6 3 4 2" xfId="6319"/>
    <cellStyle name="Normal 3 2 6 3 5" xfId="6320"/>
    <cellStyle name="Normal 3 2 6 4" xfId="6321"/>
    <cellStyle name="Normal 3 2 6 4 2" xfId="6322"/>
    <cellStyle name="Normal 3 2 6 4 2 2" xfId="6323"/>
    <cellStyle name="Normal 3 2 6 4 3" xfId="6324"/>
    <cellStyle name="Normal 3 2 6 5" xfId="6325"/>
    <cellStyle name="Normal 3 2 6 5 2" xfId="6326"/>
    <cellStyle name="Normal 3 2 6 6" xfId="6327"/>
    <cellStyle name="Normal 3 2 7" xfId="6328"/>
    <cellStyle name="Normal 3 2 7 2" xfId="6329"/>
    <cellStyle name="Normal 3 2 7 2 2" xfId="6330"/>
    <cellStyle name="Normal 3 2 7 2 2 2" xfId="6331"/>
    <cellStyle name="Normal 3 2 7 2 3" xfId="6332"/>
    <cellStyle name="Normal 3 2 7 2 3 2" xfId="6333"/>
    <cellStyle name="Normal 3 2 7 2 4" xfId="6334"/>
    <cellStyle name="Normal 3 2 7 3" xfId="6335"/>
    <cellStyle name="Normal 3 2 7 3 2" xfId="6336"/>
    <cellStyle name="Normal 3 2 7 3 2 2" xfId="6337"/>
    <cellStyle name="Normal 3 2 7 3 3" xfId="6338"/>
    <cellStyle name="Normal 3 2 7 4" xfId="6339"/>
    <cellStyle name="Normal 3 2 7 4 2" xfId="6340"/>
    <cellStyle name="Normal 3 2 7 5" xfId="6341"/>
    <cellStyle name="Normal 3 2 8" xfId="6342"/>
    <cellStyle name="Normal 3 2 8 2" xfId="6343"/>
    <cellStyle name="Normal 3 2 8 2 2" xfId="6344"/>
    <cellStyle name="Normal 3 2 8 2 2 2" xfId="6345"/>
    <cellStyle name="Normal 3 2 8 2 3" xfId="6346"/>
    <cellStyle name="Normal 3 2 8 3" xfId="6347"/>
    <cellStyle name="Normal 3 2 8 3 2" xfId="6348"/>
    <cellStyle name="Normal 3 2 8 4" xfId="6349"/>
    <cellStyle name="Normal 3 2 9" xfId="6350"/>
    <cellStyle name="Normal 3 2 9 2" xfId="6351"/>
    <cellStyle name="Normal 3 2 9 2 2" xfId="6352"/>
    <cellStyle name="Normal 3 2 9 2 2 2" xfId="6353"/>
    <cellStyle name="Normal 3 2 9 2 3" xfId="6354"/>
    <cellStyle name="Normal 3 2 9 3" xfId="6355"/>
    <cellStyle name="Normal 3 2 9 3 2" xfId="6356"/>
    <cellStyle name="Normal 3 2 9 4" xfId="6357"/>
    <cellStyle name="Normal 3 3" xfId="27"/>
    <cellStyle name="Normal 3 3 10" xfId="6359"/>
    <cellStyle name="Normal 3 3 10 2" xfId="6360"/>
    <cellStyle name="Normal 3 3 11" xfId="6361"/>
    <cellStyle name="Normal 3 3 12" xfId="6358"/>
    <cellStyle name="Normal 3 3 13" xfId="12966"/>
    <cellStyle name="Normal 3 3 2" xfId="6362"/>
    <cellStyle name="Normal 3 3 2 10" xfId="6363"/>
    <cellStyle name="Normal 3 3 2 11" xfId="8990"/>
    <cellStyle name="Normal 3 3 2 11 2" xfId="16845"/>
    <cellStyle name="Normal 3 3 2 2" xfId="6364"/>
    <cellStyle name="Normal 3 3 2 2 2" xfId="6365"/>
    <cellStyle name="Normal 3 3 2 2 2 2" xfId="6366"/>
    <cellStyle name="Normal 3 3 2 2 2 2 2" xfId="6367"/>
    <cellStyle name="Normal 3 3 2 2 2 2 2 2" xfId="6368"/>
    <cellStyle name="Normal 3 3 2 2 2 2 2 2 2" xfId="6369"/>
    <cellStyle name="Normal 3 3 2 2 2 2 2 3" xfId="6370"/>
    <cellStyle name="Normal 3 3 2 2 2 2 2 3 2" xfId="6371"/>
    <cellStyle name="Normal 3 3 2 2 2 2 2 4" xfId="6372"/>
    <cellStyle name="Normal 3 3 2 2 2 2 3" xfId="6373"/>
    <cellStyle name="Normal 3 3 2 2 2 2 3 2" xfId="6374"/>
    <cellStyle name="Normal 3 3 2 2 2 2 3 2 2" xfId="6375"/>
    <cellStyle name="Normal 3 3 2 2 2 2 3 3" xfId="6376"/>
    <cellStyle name="Normal 3 3 2 2 2 2 4" xfId="6377"/>
    <cellStyle name="Normal 3 3 2 2 2 2 4 2" xfId="6378"/>
    <cellStyle name="Normal 3 3 2 2 2 2 5" xfId="6379"/>
    <cellStyle name="Normal 3 3 2 2 2 3" xfId="6380"/>
    <cellStyle name="Normal 3 3 2 2 2 3 2" xfId="6381"/>
    <cellStyle name="Normal 3 3 2 2 2 3 2 2" xfId="6382"/>
    <cellStyle name="Normal 3 3 2 2 2 3 2 2 2" xfId="6383"/>
    <cellStyle name="Normal 3 3 2 2 2 3 2 3" xfId="6384"/>
    <cellStyle name="Normal 3 3 2 2 2 3 3" xfId="6385"/>
    <cellStyle name="Normal 3 3 2 2 2 3 3 2" xfId="6386"/>
    <cellStyle name="Normal 3 3 2 2 2 3 4" xfId="6387"/>
    <cellStyle name="Normal 3 3 2 2 2 3 4 2" xfId="6388"/>
    <cellStyle name="Normal 3 3 2 2 2 3 5" xfId="6389"/>
    <cellStyle name="Normal 3 3 2 2 2 4" xfId="6390"/>
    <cellStyle name="Normal 3 3 2 2 2 4 2" xfId="6391"/>
    <cellStyle name="Normal 3 3 2 2 2 4 2 2" xfId="6392"/>
    <cellStyle name="Normal 3 3 2 2 2 4 3" xfId="6393"/>
    <cellStyle name="Normal 3 3 2 2 2 5" xfId="6394"/>
    <cellStyle name="Normal 3 3 2 2 2 5 2" xfId="6395"/>
    <cellStyle name="Normal 3 3 2 2 2 6" xfId="6396"/>
    <cellStyle name="Normal 3 3 2 2 3" xfId="6397"/>
    <cellStyle name="Normal 3 3 2 2 3 2" xfId="6398"/>
    <cellStyle name="Normal 3 3 2 2 3 2 2" xfId="6399"/>
    <cellStyle name="Normal 3 3 2 2 3 2 2 2" xfId="6400"/>
    <cellStyle name="Normal 3 3 2 2 3 2 3" xfId="6401"/>
    <cellStyle name="Normal 3 3 2 2 3 2 3 2" xfId="6402"/>
    <cellStyle name="Normal 3 3 2 2 3 2 4" xfId="6403"/>
    <cellStyle name="Normal 3 3 2 2 3 3" xfId="6404"/>
    <cellStyle name="Normal 3 3 2 2 3 3 2" xfId="6405"/>
    <cellStyle name="Normal 3 3 2 2 3 3 2 2" xfId="6406"/>
    <cellStyle name="Normal 3 3 2 2 3 3 3" xfId="6407"/>
    <cellStyle name="Normal 3 3 2 2 3 4" xfId="6408"/>
    <cellStyle name="Normal 3 3 2 2 3 4 2" xfId="6409"/>
    <cellStyle name="Normal 3 3 2 2 3 5" xfId="6410"/>
    <cellStyle name="Normal 3 3 2 2 4" xfId="6411"/>
    <cellStyle name="Normal 3 3 2 2 4 2" xfId="6412"/>
    <cellStyle name="Normal 3 3 2 2 4 2 2" xfId="6413"/>
    <cellStyle name="Normal 3 3 2 2 4 2 2 2" xfId="6414"/>
    <cellStyle name="Normal 3 3 2 2 4 2 3" xfId="6415"/>
    <cellStyle name="Normal 3 3 2 2 4 3" xfId="6416"/>
    <cellStyle name="Normal 3 3 2 2 4 3 2" xfId="6417"/>
    <cellStyle name="Normal 3 3 2 2 4 4" xfId="6418"/>
    <cellStyle name="Normal 3 3 2 2 5" xfId="6419"/>
    <cellStyle name="Normal 3 3 2 2 5 2" xfId="6420"/>
    <cellStyle name="Normal 3 3 2 2 5 2 2" xfId="6421"/>
    <cellStyle name="Normal 3 3 2 2 5 2 2 2" xfId="6422"/>
    <cellStyle name="Normal 3 3 2 2 5 2 3" xfId="6423"/>
    <cellStyle name="Normal 3 3 2 2 5 3" xfId="6424"/>
    <cellStyle name="Normal 3 3 2 2 5 3 2" xfId="6425"/>
    <cellStyle name="Normal 3 3 2 2 5 4" xfId="6426"/>
    <cellStyle name="Normal 3 3 2 2 5 4 2" xfId="6427"/>
    <cellStyle name="Normal 3 3 2 2 5 5" xfId="6428"/>
    <cellStyle name="Normal 3 3 2 2 6" xfId="6429"/>
    <cellStyle name="Normal 3 3 2 2 6 2" xfId="6430"/>
    <cellStyle name="Normal 3 3 2 2 6 2 2" xfId="6431"/>
    <cellStyle name="Normal 3 3 2 2 6 3" xfId="6432"/>
    <cellStyle name="Normal 3 3 2 2 7" xfId="6433"/>
    <cellStyle name="Normal 3 3 2 2 7 2" xfId="6434"/>
    <cellStyle name="Normal 3 3 2 2 8" xfId="6435"/>
    <cellStyle name="Normal 3 3 2 3" xfId="6436"/>
    <cellStyle name="Normal 3 3 2 3 2" xfId="6437"/>
    <cellStyle name="Normal 3 3 2 3 2 2" xfId="6438"/>
    <cellStyle name="Normal 3 3 2 3 2 2 2" xfId="6439"/>
    <cellStyle name="Normal 3 3 2 3 2 2 2 2" xfId="6440"/>
    <cellStyle name="Normal 3 3 2 3 2 2 3" xfId="6441"/>
    <cellStyle name="Normal 3 3 2 3 2 2 3 2" xfId="6442"/>
    <cellStyle name="Normal 3 3 2 3 2 2 4" xfId="6443"/>
    <cellStyle name="Normal 3 3 2 3 2 3" xfId="6444"/>
    <cellStyle name="Normal 3 3 2 3 2 3 2" xfId="6445"/>
    <cellStyle name="Normal 3 3 2 3 2 3 2 2" xfId="6446"/>
    <cellStyle name="Normal 3 3 2 3 2 3 3" xfId="6447"/>
    <cellStyle name="Normal 3 3 2 3 2 4" xfId="6448"/>
    <cellStyle name="Normal 3 3 2 3 2 4 2" xfId="6449"/>
    <cellStyle name="Normal 3 3 2 3 2 5" xfId="6450"/>
    <cellStyle name="Normal 3 3 2 3 3" xfId="6451"/>
    <cellStyle name="Normal 3 3 2 3 3 2" xfId="6452"/>
    <cellStyle name="Normal 3 3 2 3 3 2 2" xfId="6453"/>
    <cellStyle name="Normal 3 3 2 3 3 2 2 2" xfId="6454"/>
    <cellStyle name="Normal 3 3 2 3 3 2 3" xfId="6455"/>
    <cellStyle name="Normal 3 3 2 3 3 3" xfId="6456"/>
    <cellStyle name="Normal 3 3 2 3 3 3 2" xfId="6457"/>
    <cellStyle name="Normal 3 3 2 3 3 4" xfId="6458"/>
    <cellStyle name="Normal 3 3 2 3 3 4 2" xfId="6459"/>
    <cellStyle name="Normal 3 3 2 3 3 5" xfId="6460"/>
    <cellStyle name="Normal 3 3 2 3 4" xfId="6461"/>
    <cellStyle name="Normal 3 3 2 3 4 2" xfId="6462"/>
    <cellStyle name="Normal 3 3 2 3 4 2 2" xfId="6463"/>
    <cellStyle name="Normal 3 3 2 3 4 3" xfId="6464"/>
    <cellStyle name="Normal 3 3 2 3 5" xfId="6465"/>
    <cellStyle name="Normal 3 3 2 3 5 2" xfId="6466"/>
    <cellStyle name="Normal 3 3 2 3 6" xfId="6467"/>
    <cellStyle name="Normal 3 3 2 4" xfId="6468"/>
    <cellStyle name="Normal 3 3 2 4 2" xfId="6469"/>
    <cellStyle name="Normal 3 3 2 4 2 2" xfId="6470"/>
    <cellStyle name="Normal 3 3 2 4 2 2 2" xfId="6471"/>
    <cellStyle name="Normal 3 3 2 4 2 3" xfId="6472"/>
    <cellStyle name="Normal 3 3 2 4 2 3 2" xfId="6473"/>
    <cellStyle name="Normal 3 3 2 4 2 4" xfId="6474"/>
    <cellStyle name="Normal 3 3 2 4 3" xfId="6475"/>
    <cellStyle name="Normal 3 3 2 4 3 2" xfId="6476"/>
    <cellStyle name="Normal 3 3 2 4 3 2 2" xfId="6477"/>
    <cellStyle name="Normal 3 3 2 4 3 3" xfId="6478"/>
    <cellStyle name="Normal 3 3 2 4 4" xfId="6479"/>
    <cellStyle name="Normal 3 3 2 4 4 2" xfId="6480"/>
    <cellStyle name="Normal 3 3 2 4 5" xfId="6481"/>
    <cellStyle name="Normal 3 3 2 5" xfId="6482"/>
    <cellStyle name="Normal 3 3 2 5 2" xfId="6483"/>
    <cellStyle name="Normal 3 3 2 5 2 2" xfId="6484"/>
    <cellStyle name="Normal 3 3 2 5 2 2 2" xfId="6485"/>
    <cellStyle name="Normal 3 3 2 5 2 3" xfId="6486"/>
    <cellStyle name="Normal 3 3 2 5 3" xfId="6487"/>
    <cellStyle name="Normal 3 3 2 5 3 2" xfId="6488"/>
    <cellStyle name="Normal 3 3 2 5 4" xfId="6489"/>
    <cellStyle name="Normal 3 3 2 6" xfId="6490"/>
    <cellStyle name="Normal 3 3 2 6 2" xfId="6491"/>
    <cellStyle name="Normal 3 3 2 6 2 2" xfId="6492"/>
    <cellStyle name="Normal 3 3 2 6 2 2 2" xfId="6493"/>
    <cellStyle name="Normal 3 3 2 6 2 3" xfId="6494"/>
    <cellStyle name="Normal 3 3 2 6 3" xfId="6495"/>
    <cellStyle name="Normal 3 3 2 6 3 2" xfId="6496"/>
    <cellStyle name="Normal 3 3 2 6 4" xfId="6497"/>
    <cellStyle name="Normal 3 3 2 7" xfId="6498"/>
    <cellStyle name="Normal 3 3 2 7 2" xfId="6499"/>
    <cellStyle name="Normal 3 3 2 7 2 2" xfId="6500"/>
    <cellStyle name="Normal 3 3 2 7 3" xfId="6501"/>
    <cellStyle name="Normal 3 3 2 8" xfId="6502"/>
    <cellStyle name="Normal 3 3 2 8 2" xfId="6503"/>
    <cellStyle name="Normal 3 3 2 9" xfId="6504"/>
    <cellStyle name="Normal 3 3 2 9 2" xfId="6505"/>
    <cellStyle name="Normal 3 3 3" xfId="6506"/>
    <cellStyle name="Normal 3 3 3 2" xfId="6507"/>
    <cellStyle name="Normal 3 3 3 2 2" xfId="6508"/>
    <cellStyle name="Normal 3 3 3 2 2 2" xfId="6509"/>
    <cellStyle name="Normal 3 3 3 2 2 2 2" xfId="6510"/>
    <cellStyle name="Normal 3 3 3 2 2 2 2 2" xfId="6511"/>
    <cellStyle name="Normal 3 3 3 2 2 2 3" xfId="6512"/>
    <cellStyle name="Normal 3 3 3 2 2 2 3 2" xfId="6513"/>
    <cellStyle name="Normal 3 3 3 2 2 2 4" xfId="6514"/>
    <cellStyle name="Normal 3 3 3 2 2 3" xfId="6515"/>
    <cellStyle name="Normal 3 3 3 2 2 3 2" xfId="6516"/>
    <cellStyle name="Normal 3 3 3 2 2 3 2 2" xfId="6517"/>
    <cellStyle name="Normal 3 3 3 2 2 3 3" xfId="6518"/>
    <cellStyle name="Normal 3 3 3 2 2 4" xfId="6519"/>
    <cellStyle name="Normal 3 3 3 2 2 4 2" xfId="6520"/>
    <cellStyle name="Normal 3 3 3 2 2 5" xfId="6521"/>
    <cellStyle name="Normal 3 3 3 2 3" xfId="6522"/>
    <cellStyle name="Normal 3 3 3 2 3 2" xfId="6523"/>
    <cellStyle name="Normal 3 3 3 2 3 2 2" xfId="6524"/>
    <cellStyle name="Normal 3 3 3 2 3 2 2 2" xfId="6525"/>
    <cellStyle name="Normal 3 3 3 2 3 2 3" xfId="6526"/>
    <cellStyle name="Normal 3 3 3 2 3 3" xfId="6527"/>
    <cellStyle name="Normal 3 3 3 2 3 3 2" xfId="6528"/>
    <cellStyle name="Normal 3 3 3 2 3 4" xfId="6529"/>
    <cellStyle name="Normal 3 3 3 2 3 4 2" xfId="6530"/>
    <cellStyle name="Normal 3 3 3 2 3 5" xfId="6531"/>
    <cellStyle name="Normal 3 3 3 2 4" xfId="6532"/>
    <cellStyle name="Normal 3 3 3 2 4 2" xfId="6533"/>
    <cellStyle name="Normal 3 3 3 2 4 2 2" xfId="6534"/>
    <cellStyle name="Normal 3 3 3 2 4 3" xfId="6535"/>
    <cellStyle name="Normal 3 3 3 2 5" xfId="6536"/>
    <cellStyle name="Normal 3 3 3 2 5 2" xfId="6537"/>
    <cellStyle name="Normal 3 3 3 2 6" xfId="6538"/>
    <cellStyle name="Normal 3 3 3 3" xfId="6539"/>
    <cellStyle name="Normal 3 3 3 3 2" xfId="6540"/>
    <cellStyle name="Normal 3 3 3 3 2 2" xfId="6541"/>
    <cellStyle name="Normal 3 3 3 3 2 2 2" xfId="6542"/>
    <cellStyle name="Normal 3 3 3 3 2 3" xfId="6543"/>
    <cellStyle name="Normal 3 3 3 3 2 3 2" xfId="6544"/>
    <cellStyle name="Normal 3 3 3 3 2 4" xfId="6545"/>
    <cellStyle name="Normal 3 3 3 3 3" xfId="6546"/>
    <cellStyle name="Normal 3 3 3 3 3 2" xfId="6547"/>
    <cellStyle name="Normal 3 3 3 3 3 2 2" xfId="6548"/>
    <cellStyle name="Normal 3 3 3 3 3 3" xfId="6549"/>
    <cellStyle name="Normal 3 3 3 3 4" xfId="6550"/>
    <cellStyle name="Normal 3 3 3 3 4 2" xfId="6551"/>
    <cellStyle name="Normal 3 3 3 3 5" xfId="6552"/>
    <cellStyle name="Normal 3 3 3 4" xfId="6553"/>
    <cellStyle name="Normal 3 3 3 4 2" xfId="6554"/>
    <cellStyle name="Normal 3 3 3 4 2 2" xfId="6555"/>
    <cellStyle name="Normal 3 3 3 4 2 2 2" xfId="6556"/>
    <cellStyle name="Normal 3 3 3 4 2 3" xfId="6557"/>
    <cellStyle name="Normal 3 3 3 4 3" xfId="6558"/>
    <cellStyle name="Normal 3 3 3 4 3 2" xfId="6559"/>
    <cellStyle name="Normal 3 3 3 4 4" xfId="6560"/>
    <cellStyle name="Normal 3 3 3 5" xfId="6561"/>
    <cellStyle name="Normal 3 3 3 5 2" xfId="6562"/>
    <cellStyle name="Normal 3 3 3 5 2 2" xfId="6563"/>
    <cellStyle name="Normal 3 3 3 5 2 2 2" xfId="6564"/>
    <cellStyle name="Normal 3 3 3 5 2 3" xfId="6565"/>
    <cellStyle name="Normal 3 3 3 5 3" xfId="6566"/>
    <cellStyle name="Normal 3 3 3 5 3 2" xfId="6567"/>
    <cellStyle name="Normal 3 3 3 5 4" xfId="6568"/>
    <cellStyle name="Normal 3 3 3 5 4 2" xfId="6569"/>
    <cellStyle name="Normal 3 3 3 5 5" xfId="6570"/>
    <cellStyle name="Normal 3 3 3 6" xfId="6571"/>
    <cellStyle name="Normal 3 3 3 6 2" xfId="6572"/>
    <cellStyle name="Normal 3 3 3 6 2 2" xfId="6573"/>
    <cellStyle name="Normal 3 3 3 6 3" xfId="6574"/>
    <cellStyle name="Normal 3 3 3 7" xfId="6575"/>
    <cellStyle name="Normal 3 3 3 7 2" xfId="6576"/>
    <cellStyle name="Normal 3 3 3 8" xfId="6577"/>
    <cellStyle name="Normal 3 3 4" xfId="6578"/>
    <cellStyle name="Normal 3 3 4 2" xfId="6579"/>
    <cellStyle name="Normal 3 3 4 2 2" xfId="6580"/>
    <cellStyle name="Normal 3 3 4 2 2 2" xfId="6581"/>
    <cellStyle name="Normal 3 3 4 2 2 2 2" xfId="6582"/>
    <cellStyle name="Normal 3 3 4 2 2 3" xfId="6583"/>
    <cellStyle name="Normal 3 3 4 2 2 3 2" xfId="6584"/>
    <cellStyle name="Normal 3 3 4 2 2 4" xfId="6585"/>
    <cellStyle name="Normal 3 3 4 2 3" xfId="6586"/>
    <cellStyle name="Normal 3 3 4 2 3 2" xfId="6587"/>
    <cellStyle name="Normal 3 3 4 2 3 2 2" xfId="6588"/>
    <cellStyle name="Normal 3 3 4 2 3 3" xfId="6589"/>
    <cellStyle name="Normal 3 3 4 2 4" xfId="6590"/>
    <cellStyle name="Normal 3 3 4 2 4 2" xfId="6591"/>
    <cellStyle name="Normal 3 3 4 2 5" xfId="6592"/>
    <cellStyle name="Normal 3 3 4 3" xfId="6593"/>
    <cellStyle name="Normal 3 3 4 3 2" xfId="6594"/>
    <cellStyle name="Normal 3 3 4 3 2 2" xfId="6595"/>
    <cellStyle name="Normal 3 3 4 3 2 2 2" xfId="6596"/>
    <cellStyle name="Normal 3 3 4 3 2 3" xfId="6597"/>
    <cellStyle name="Normal 3 3 4 3 3" xfId="6598"/>
    <cellStyle name="Normal 3 3 4 3 3 2" xfId="6599"/>
    <cellStyle name="Normal 3 3 4 3 4" xfId="6600"/>
    <cellStyle name="Normal 3 3 4 3 4 2" xfId="6601"/>
    <cellStyle name="Normal 3 3 4 3 5" xfId="6602"/>
    <cellStyle name="Normal 3 3 4 4" xfId="6603"/>
    <cellStyle name="Normal 3 3 4 4 2" xfId="6604"/>
    <cellStyle name="Normal 3 3 4 4 2 2" xfId="6605"/>
    <cellStyle name="Normal 3 3 4 4 3" xfId="6606"/>
    <cellStyle name="Normal 3 3 4 5" xfId="6607"/>
    <cellStyle name="Normal 3 3 4 5 2" xfId="6608"/>
    <cellStyle name="Normal 3 3 4 6" xfId="6609"/>
    <cellStyle name="Normal 3 3 5" xfId="6610"/>
    <cellStyle name="Normal 3 3 5 2" xfId="6611"/>
    <cellStyle name="Normal 3 3 5 2 2" xfId="6612"/>
    <cellStyle name="Normal 3 3 5 2 2 2" xfId="6613"/>
    <cellStyle name="Normal 3 3 5 2 3" xfId="6614"/>
    <cellStyle name="Normal 3 3 5 2 3 2" xfId="6615"/>
    <cellStyle name="Normal 3 3 5 2 4" xfId="6616"/>
    <cellStyle name="Normal 3 3 5 3" xfId="6617"/>
    <cellStyle name="Normal 3 3 5 3 2" xfId="6618"/>
    <cellStyle name="Normal 3 3 5 3 2 2" xfId="6619"/>
    <cellStyle name="Normal 3 3 5 3 3" xfId="6620"/>
    <cellStyle name="Normal 3 3 5 4" xfId="6621"/>
    <cellStyle name="Normal 3 3 5 4 2" xfId="6622"/>
    <cellStyle name="Normal 3 3 5 5" xfId="6623"/>
    <cellStyle name="Normal 3 3 6" xfId="6624"/>
    <cellStyle name="Normal 3 3 6 2" xfId="6625"/>
    <cellStyle name="Normal 3 3 6 2 2" xfId="6626"/>
    <cellStyle name="Normal 3 3 6 2 2 2" xfId="6627"/>
    <cellStyle name="Normal 3 3 6 2 3" xfId="6628"/>
    <cellStyle name="Normal 3 3 6 3" xfId="6629"/>
    <cellStyle name="Normal 3 3 6 3 2" xfId="6630"/>
    <cellStyle name="Normal 3 3 6 4" xfId="6631"/>
    <cellStyle name="Normal 3 3 7" xfId="6632"/>
    <cellStyle name="Normal 3 3 7 2" xfId="6633"/>
    <cellStyle name="Normal 3 3 7 2 2" xfId="6634"/>
    <cellStyle name="Normal 3 3 7 2 2 2" xfId="6635"/>
    <cellStyle name="Normal 3 3 7 2 3" xfId="6636"/>
    <cellStyle name="Normal 3 3 7 3" xfId="6637"/>
    <cellStyle name="Normal 3 3 7 3 2" xfId="6638"/>
    <cellStyle name="Normal 3 3 7 4" xfId="6639"/>
    <cellStyle name="Normal 3 3 8" xfId="6640"/>
    <cellStyle name="Normal 3 3 8 2" xfId="6641"/>
    <cellStyle name="Normal 3 3 8 2 2" xfId="6642"/>
    <cellStyle name="Normal 3 3 8 3" xfId="6643"/>
    <cellStyle name="Normal 3 3 9" xfId="6644"/>
    <cellStyle name="Normal 3 3 9 2" xfId="6645"/>
    <cellStyle name="Normal 3 4" xfId="6646"/>
    <cellStyle name="Normal 3 4 10" xfId="6647"/>
    <cellStyle name="Normal 3 4 10 2" xfId="6648"/>
    <cellStyle name="Normal 3 4 11" xfId="6649"/>
    <cellStyle name="Normal 3 4 12" xfId="9019"/>
    <cellStyle name="Normal 3 4 12 2" xfId="16849"/>
    <cellStyle name="Normal 3 4 2" xfId="6650"/>
    <cellStyle name="Normal 3 4 2 10" xfId="6651"/>
    <cellStyle name="Normal 3 4 2 2" xfId="6652"/>
    <cellStyle name="Normal 3 4 2 2 2" xfId="6653"/>
    <cellStyle name="Normal 3 4 2 2 2 2" xfId="6654"/>
    <cellStyle name="Normal 3 4 2 2 2 2 2" xfId="6655"/>
    <cellStyle name="Normal 3 4 2 2 2 2 2 2" xfId="6656"/>
    <cellStyle name="Normal 3 4 2 2 2 2 2 2 2" xfId="6657"/>
    <cellStyle name="Normal 3 4 2 2 2 2 2 3" xfId="6658"/>
    <cellStyle name="Normal 3 4 2 2 2 2 2 3 2" xfId="6659"/>
    <cellStyle name="Normal 3 4 2 2 2 2 2 4" xfId="6660"/>
    <cellStyle name="Normal 3 4 2 2 2 2 3" xfId="6661"/>
    <cellStyle name="Normal 3 4 2 2 2 2 3 2" xfId="6662"/>
    <cellStyle name="Normal 3 4 2 2 2 2 3 2 2" xfId="6663"/>
    <cellStyle name="Normal 3 4 2 2 2 2 3 3" xfId="6664"/>
    <cellStyle name="Normal 3 4 2 2 2 2 4" xfId="6665"/>
    <cellStyle name="Normal 3 4 2 2 2 2 4 2" xfId="6666"/>
    <cellStyle name="Normal 3 4 2 2 2 2 5" xfId="6667"/>
    <cellStyle name="Normal 3 4 2 2 2 3" xfId="6668"/>
    <cellStyle name="Normal 3 4 2 2 2 3 2" xfId="6669"/>
    <cellStyle name="Normal 3 4 2 2 2 3 2 2" xfId="6670"/>
    <cellStyle name="Normal 3 4 2 2 2 3 2 2 2" xfId="6671"/>
    <cellStyle name="Normal 3 4 2 2 2 3 2 3" xfId="6672"/>
    <cellStyle name="Normal 3 4 2 2 2 3 3" xfId="6673"/>
    <cellStyle name="Normal 3 4 2 2 2 3 3 2" xfId="6674"/>
    <cellStyle name="Normal 3 4 2 2 2 3 4" xfId="6675"/>
    <cellStyle name="Normal 3 4 2 2 2 3 4 2" xfId="6676"/>
    <cellStyle name="Normal 3 4 2 2 2 3 5" xfId="6677"/>
    <cellStyle name="Normal 3 4 2 2 2 4" xfId="6678"/>
    <cellStyle name="Normal 3 4 2 2 2 4 2" xfId="6679"/>
    <cellStyle name="Normal 3 4 2 2 2 4 2 2" xfId="6680"/>
    <cellStyle name="Normal 3 4 2 2 2 4 3" xfId="6681"/>
    <cellStyle name="Normal 3 4 2 2 2 5" xfId="6682"/>
    <cellStyle name="Normal 3 4 2 2 2 5 2" xfId="6683"/>
    <cellStyle name="Normal 3 4 2 2 2 6" xfId="6684"/>
    <cellStyle name="Normal 3 4 2 2 3" xfId="6685"/>
    <cellStyle name="Normal 3 4 2 2 3 2" xfId="6686"/>
    <cellStyle name="Normal 3 4 2 2 3 2 2" xfId="6687"/>
    <cellStyle name="Normal 3 4 2 2 3 2 2 2" xfId="6688"/>
    <cellStyle name="Normal 3 4 2 2 3 2 3" xfId="6689"/>
    <cellStyle name="Normal 3 4 2 2 3 2 3 2" xfId="6690"/>
    <cellStyle name="Normal 3 4 2 2 3 2 4" xfId="6691"/>
    <cellStyle name="Normal 3 4 2 2 3 3" xfId="6692"/>
    <cellStyle name="Normal 3 4 2 2 3 3 2" xfId="6693"/>
    <cellStyle name="Normal 3 4 2 2 3 3 2 2" xfId="6694"/>
    <cellStyle name="Normal 3 4 2 2 3 3 3" xfId="6695"/>
    <cellStyle name="Normal 3 4 2 2 3 4" xfId="6696"/>
    <cellStyle name="Normal 3 4 2 2 3 4 2" xfId="6697"/>
    <cellStyle name="Normal 3 4 2 2 3 5" xfId="6698"/>
    <cellStyle name="Normal 3 4 2 2 4" xfId="6699"/>
    <cellStyle name="Normal 3 4 2 2 4 2" xfId="6700"/>
    <cellStyle name="Normal 3 4 2 2 4 2 2" xfId="6701"/>
    <cellStyle name="Normal 3 4 2 2 4 2 2 2" xfId="6702"/>
    <cellStyle name="Normal 3 4 2 2 4 2 3" xfId="6703"/>
    <cellStyle name="Normal 3 4 2 2 4 3" xfId="6704"/>
    <cellStyle name="Normal 3 4 2 2 4 3 2" xfId="6705"/>
    <cellStyle name="Normal 3 4 2 2 4 4" xfId="6706"/>
    <cellStyle name="Normal 3 4 2 2 5" xfId="6707"/>
    <cellStyle name="Normal 3 4 2 2 5 2" xfId="6708"/>
    <cellStyle name="Normal 3 4 2 2 5 2 2" xfId="6709"/>
    <cellStyle name="Normal 3 4 2 2 5 2 2 2" xfId="6710"/>
    <cellStyle name="Normal 3 4 2 2 5 2 3" xfId="6711"/>
    <cellStyle name="Normal 3 4 2 2 5 3" xfId="6712"/>
    <cellStyle name="Normal 3 4 2 2 5 3 2" xfId="6713"/>
    <cellStyle name="Normal 3 4 2 2 5 4" xfId="6714"/>
    <cellStyle name="Normal 3 4 2 2 5 4 2" xfId="6715"/>
    <cellStyle name="Normal 3 4 2 2 5 5" xfId="6716"/>
    <cellStyle name="Normal 3 4 2 2 6" xfId="6717"/>
    <cellStyle name="Normal 3 4 2 2 6 2" xfId="6718"/>
    <cellStyle name="Normal 3 4 2 2 6 2 2" xfId="6719"/>
    <cellStyle name="Normal 3 4 2 2 6 3" xfId="6720"/>
    <cellStyle name="Normal 3 4 2 2 7" xfId="6721"/>
    <cellStyle name="Normal 3 4 2 2 7 2" xfId="6722"/>
    <cellStyle name="Normal 3 4 2 2 8" xfId="6723"/>
    <cellStyle name="Normal 3 4 2 3" xfId="6724"/>
    <cellStyle name="Normal 3 4 2 3 2" xfId="6725"/>
    <cellStyle name="Normal 3 4 2 3 2 2" xfId="6726"/>
    <cellStyle name="Normal 3 4 2 3 2 2 2" xfId="6727"/>
    <cellStyle name="Normal 3 4 2 3 2 2 2 2" xfId="6728"/>
    <cellStyle name="Normal 3 4 2 3 2 2 3" xfId="6729"/>
    <cellStyle name="Normal 3 4 2 3 2 2 3 2" xfId="6730"/>
    <cellStyle name="Normal 3 4 2 3 2 2 4" xfId="6731"/>
    <cellStyle name="Normal 3 4 2 3 2 3" xfId="6732"/>
    <cellStyle name="Normal 3 4 2 3 2 3 2" xfId="6733"/>
    <cellStyle name="Normal 3 4 2 3 2 3 2 2" xfId="6734"/>
    <cellStyle name="Normal 3 4 2 3 2 3 3" xfId="6735"/>
    <cellStyle name="Normal 3 4 2 3 2 4" xfId="6736"/>
    <cellStyle name="Normal 3 4 2 3 2 4 2" xfId="6737"/>
    <cellStyle name="Normal 3 4 2 3 2 5" xfId="6738"/>
    <cellStyle name="Normal 3 4 2 3 3" xfId="6739"/>
    <cellStyle name="Normal 3 4 2 3 3 2" xfId="6740"/>
    <cellStyle name="Normal 3 4 2 3 3 2 2" xfId="6741"/>
    <cellStyle name="Normal 3 4 2 3 3 2 2 2" xfId="6742"/>
    <cellStyle name="Normal 3 4 2 3 3 2 3" xfId="6743"/>
    <cellStyle name="Normal 3 4 2 3 3 3" xfId="6744"/>
    <cellStyle name="Normal 3 4 2 3 3 3 2" xfId="6745"/>
    <cellStyle name="Normal 3 4 2 3 3 4" xfId="6746"/>
    <cellStyle name="Normal 3 4 2 3 3 4 2" xfId="6747"/>
    <cellStyle name="Normal 3 4 2 3 3 5" xfId="6748"/>
    <cellStyle name="Normal 3 4 2 3 4" xfId="6749"/>
    <cellStyle name="Normal 3 4 2 3 4 2" xfId="6750"/>
    <cellStyle name="Normal 3 4 2 3 4 2 2" xfId="6751"/>
    <cellStyle name="Normal 3 4 2 3 4 3" xfId="6752"/>
    <cellStyle name="Normal 3 4 2 3 5" xfId="6753"/>
    <cellStyle name="Normal 3 4 2 3 5 2" xfId="6754"/>
    <cellStyle name="Normal 3 4 2 3 6" xfId="6755"/>
    <cellStyle name="Normal 3 4 2 4" xfId="6756"/>
    <cellStyle name="Normal 3 4 2 4 2" xfId="6757"/>
    <cellStyle name="Normal 3 4 2 4 2 2" xfId="6758"/>
    <cellStyle name="Normal 3 4 2 4 2 2 2" xfId="6759"/>
    <cellStyle name="Normal 3 4 2 4 2 3" xfId="6760"/>
    <cellStyle name="Normal 3 4 2 4 2 3 2" xfId="6761"/>
    <cellStyle name="Normal 3 4 2 4 2 4" xfId="6762"/>
    <cellStyle name="Normal 3 4 2 4 3" xfId="6763"/>
    <cellStyle name="Normal 3 4 2 4 3 2" xfId="6764"/>
    <cellStyle name="Normal 3 4 2 4 3 2 2" xfId="6765"/>
    <cellStyle name="Normal 3 4 2 4 3 3" xfId="6766"/>
    <cellStyle name="Normal 3 4 2 4 4" xfId="6767"/>
    <cellStyle name="Normal 3 4 2 4 4 2" xfId="6768"/>
    <cellStyle name="Normal 3 4 2 4 5" xfId="6769"/>
    <cellStyle name="Normal 3 4 2 5" xfId="6770"/>
    <cellStyle name="Normal 3 4 2 5 2" xfId="6771"/>
    <cellStyle name="Normal 3 4 2 5 2 2" xfId="6772"/>
    <cellStyle name="Normal 3 4 2 5 2 2 2" xfId="6773"/>
    <cellStyle name="Normal 3 4 2 5 2 3" xfId="6774"/>
    <cellStyle name="Normal 3 4 2 5 3" xfId="6775"/>
    <cellStyle name="Normal 3 4 2 5 3 2" xfId="6776"/>
    <cellStyle name="Normal 3 4 2 5 4" xfId="6777"/>
    <cellStyle name="Normal 3 4 2 6" xfId="6778"/>
    <cellStyle name="Normal 3 4 2 6 2" xfId="6779"/>
    <cellStyle name="Normal 3 4 2 6 2 2" xfId="6780"/>
    <cellStyle name="Normal 3 4 2 6 2 2 2" xfId="6781"/>
    <cellStyle name="Normal 3 4 2 6 2 3" xfId="6782"/>
    <cellStyle name="Normal 3 4 2 6 3" xfId="6783"/>
    <cellStyle name="Normal 3 4 2 6 3 2" xfId="6784"/>
    <cellStyle name="Normal 3 4 2 6 4" xfId="6785"/>
    <cellStyle name="Normal 3 4 2 7" xfId="6786"/>
    <cellStyle name="Normal 3 4 2 7 2" xfId="6787"/>
    <cellStyle name="Normal 3 4 2 7 2 2" xfId="6788"/>
    <cellStyle name="Normal 3 4 2 7 3" xfId="6789"/>
    <cellStyle name="Normal 3 4 2 8" xfId="6790"/>
    <cellStyle name="Normal 3 4 2 8 2" xfId="6791"/>
    <cellStyle name="Normal 3 4 2 9" xfId="6792"/>
    <cellStyle name="Normal 3 4 2 9 2" xfId="6793"/>
    <cellStyle name="Normal 3 4 3" xfId="6794"/>
    <cellStyle name="Normal 3 4 3 2" xfId="6795"/>
    <cellStyle name="Normal 3 4 3 2 2" xfId="6796"/>
    <cellStyle name="Normal 3 4 3 2 2 2" xfId="6797"/>
    <cellStyle name="Normal 3 4 3 2 2 2 2" xfId="6798"/>
    <cellStyle name="Normal 3 4 3 2 2 2 2 2" xfId="6799"/>
    <cellStyle name="Normal 3 4 3 2 2 2 3" xfId="6800"/>
    <cellStyle name="Normal 3 4 3 2 2 2 3 2" xfId="6801"/>
    <cellStyle name="Normal 3 4 3 2 2 2 4" xfId="6802"/>
    <cellStyle name="Normal 3 4 3 2 2 3" xfId="6803"/>
    <cellStyle name="Normal 3 4 3 2 2 3 2" xfId="6804"/>
    <cellStyle name="Normal 3 4 3 2 2 3 2 2" xfId="6805"/>
    <cellStyle name="Normal 3 4 3 2 2 3 3" xfId="6806"/>
    <cellStyle name="Normal 3 4 3 2 2 4" xfId="6807"/>
    <cellStyle name="Normal 3 4 3 2 2 4 2" xfId="6808"/>
    <cellStyle name="Normal 3 4 3 2 2 5" xfId="6809"/>
    <cellStyle name="Normal 3 4 3 2 3" xfId="6810"/>
    <cellStyle name="Normal 3 4 3 2 3 2" xfId="6811"/>
    <cellStyle name="Normal 3 4 3 2 3 2 2" xfId="6812"/>
    <cellStyle name="Normal 3 4 3 2 3 2 2 2" xfId="6813"/>
    <cellStyle name="Normal 3 4 3 2 3 2 3" xfId="6814"/>
    <cellStyle name="Normal 3 4 3 2 3 3" xfId="6815"/>
    <cellStyle name="Normal 3 4 3 2 3 3 2" xfId="6816"/>
    <cellStyle name="Normal 3 4 3 2 3 4" xfId="6817"/>
    <cellStyle name="Normal 3 4 3 2 3 4 2" xfId="6818"/>
    <cellStyle name="Normal 3 4 3 2 3 5" xfId="6819"/>
    <cellStyle name="Normal 3 4 3 2 4" xfId="6820"/>
    <cellStyle name="Normal 3 4 3 2 4 2" xfId="6821"/>
    <cellStyle name="Normal 3 4 3 2 4 2 2" xfId="6822"/>
    <cellStyle name="Normal 3 4 3 2 4 3" xfId="6823"/>
    <cellStyle name="Normal 3 4 3 2 5" xfId="6824"/>
    <cellStyle name="Normal 3 4 3 2 5 2" xfId="6825"/>
    <cellStyle name="Normal 3 4 3 2 6" xfId="6826"/>
    <cellStyle name="Normal 3 4 3 3" xfId="6827"/>
    <cellStyle name="Normal 3 4 3 3 2" xfId="6828"/>
    <cellStyle name="Normal 3 4 3 3 2 2" xfId="6829"/>
    <cellStyle name="Normal 3 4 3 3 2 2 2" xfId="6830"/>
    <cellStyle name="Normal 3 4 3 3 2 3" xfId="6831"/>
    <cellStyle name="Normal 3 4 3 3 2 3 2" xfId="6832"/>
    <cellStyle name="Normal 3 4 3 3 2 4" xfId="6833"/>
    <cellStyle name="Normal 3 4 3 3 3" xfId="6834"/>
    <cellStyle name="Normal 3 4 3 3 3 2" xfId="6835"/>
    <cellStyle name="Normal 3 4 3 3 3 2 2" xfId="6836"/>
    <cellStyle name="Normal 3 4 3 3 3 3" xfId="6837"/>
    <cellStyle name="Normal 3 4 3 3 4" xfId="6838"/>
    <cellStyle name="Normal 3 4 3 3 4 2" xfId="6839"/>
    <cellStyle name="Normal 3 4 3 3 5" xfId="6840"/>
    <cellStyle name="Normal 3 4 3 4" xfId="6841"/>
    <cellStyle name="Normal 3 4 3 4 2" xfId="6842"/>
    <cellStyle name="Normal 3 4 3 4 2 2" xfId="6843"/>
    <cellStyle name="Normal 3 4 3 4 2 2 2" xfId="6844"/>
    <cellStyle name="Normal 3 4 3 4 2 3" xfId="6845"/>
    <cellStyle name="Normal 3 4 3 4 3" xfId="6846"/>
    <cellStyle name="Normal 3 4 3 4 3 2" xfId="6847"/>
    <cellStyle name="Normal 3 4 3 4 4" xfId="6848"/>
    <cellStyle name="Normal 3 4 3 5" xfId="6849"/>
    <cellStyle name="Normal 3 4 3 5 2" xfId="6850"/>
    <cellStyle name="Normal 3 4 3 5 2 2" xfId="6851"/>
    <cellStyle name="Normal 3 4 3 5 2 2 2" xfId="6852"/>
    <cellStyle name="Normal 3 4 3 5 2 3" xfId="6853"/>
    <cellStyle name="Normal 3 4 3 5 3" xfId="6854"/>
    <cellStyle name="Normal 3 4 3 5 3 2" xfId="6855"/>
    <cellStyle name="Normal 3 4 3 5 4" xfId="6856"/>
    <cellStyle name="Normal 3 4 3 5 4 2" xfId="6857"/>
    <cellStyle name="Normal 3 4 3 5 5" xfId="6858"/>
    <cellStyle name="Normal 3 4 3 6" xfId="6859"/>
    <cellStyle name="Normal 3 4 3 6 2" xfId="6860"/>
    <cellStyle name="Normal 3 4 3 6 2 2" xfId="6861"/>
    <cellStyle name="Normal 3 4 3 6 3" xfId="6862"/>
    <cellStyle name="Normal 3 4 3 7" xfId="6863"/>
    <cellStyle name="Normal 3 4 3 7 2" xfId="6864"/>
    <cellStyle name="Normal 3 4 3 8" xfId="6865"/>
    <cellStyle name="Normal 3 4 4" xfId="6866"/>
    <cellStyle name="Normal 3 4 4 2" xfId="6867"/>
    <cellStyle name="Normal 3 4 4 2 2" xfId="6868"/>
    <cellStyle name="Normal 3 4 4 2 2 2" xfId="6869"/>
    <cellStyle name="Normal 3 4 4 2 2 2 2" xfId="6870"/>
    <cellStyle name="Normal 3 4 4 2 2 3" xfId="6871"/>
    <cellStyle name="Normal 3 4 4 2 2 3 2" xfId="6872"/>
    <cellStyle name="Normal 3 4 4 2 2 4" xfId="6873"/>
    <cellStyle name="Normal 3 4 4 2 3" xfId="6874"/>
    <cellStyle name="Normal 3 4 4 2 3 2" xfId="6875"/>
    <cellStyle name="Normal 3 4 4 2 3 2 2" xfId="6876"/>
    <cellStyle name="Normal 3 4 4 2 3 3" xfId="6877"/>
    <cellStyle name="Normal 3 4 4 2 4" xfId="6878"/>
    <cellStyle name="Normal 3 4 4 2 4 2" xfId="6879"/>
    <cellStyle name="Normal 3 4 4 2 5" xfId="6880"/>
    <cellStyle name="Normal 3 4 4 3" xfId="6881"/>
    <cellStyle name="Normal 3 4 4 3 2" xfId="6882"/>
    <cellStyle name="Normal 3 4 4 3 2 2" xfId="6883"/>
    <cellStyle name="Normal 3 4 4 3 2 2 2" xfId="6884"/>
    <cellStyle name="Normal 3 4 4 3 2 3" xfId="6885"/>
    <cellStyle name="Normal 3 4 4 3 3" xfId="6886"/>
    <cellStyle name="Normal 3 4 4 3 3 2" xfId="6887"/>
    <cellStyle name="Normal 3 4 4 3 4" xfId="6888"/>
    <cellStyle name="Normal 3 4 4 3 4 2" xfId="6889"/>
    <cellStyle name="Normal 3 4 4 3 5" xfId="6890"/>
    <cellStyle name="Normal 3 4 4 4" xfId="6891"/>
    <cellStyle name="Normal 3 4 4 4 2" xfId="6892"/>
    <cellStyle name="Normal 3 4 4 4 2 2" xfId="6893"/>
    <cellStyle name="Normal 3 4 4 4 3" xfId="6894"/>
    <cellStyle name="Normal 3 4 4 5" xfId="6895"/>
    <cellStyle name="Normal 3 4 4 5 2" xfId="6896"/>
    <cellStyle name="Normal 3 4 4 6" xfId="6897"/>
    <cellStyle name="Normal 3 4 5" xfId="6898"/>
    <cellStyle name="Normal 3 4 5 2" xfId="6899"/>
    <cellStyle name="Normal 3 4 5 2 2" xfId="6900"/>
    <cellStyle name="Normal 3 4 5 2 2 2" xfId="6901"/>
    <cellStyle name="Normal 3 4 5 2 3" xfId="6902"/>
    <cellStyle name="Normal 3 4 5 2 3 2" xfId="6903"/>
    <cellStyle name="Normal 3 4 5 2 4" xfId="6904"/>
    <cellStyle name="Normal 3 4 5 3" xfId="6905"/>
    <cellStyle name="Normal 3 4 5 3 2" xfId="6906"/>
    <cellStyle name="Normal 3 4 5 3 2 2" xfId="6907"/>
    <cellStyle name="Normal 3 4 5 3 3" xfId="6908"/>
    <cellStyle name="Normal 3 4 5 4" xfId="6909"/>
    <cellStyle name="Normal 3 4 5 4 2" xfId="6910"/>
    <cellStyle name="Normal 3 4 5 5" xfId="6911"/>
    <cellStyle name="Normal 3 4 6" xfId="6912"/>
    <cellStyle name="Normal 3 4 6 2" xfId="6913"/>
    <cellStyle name="Normal 3 4 6 2 2" xfId="6914"/>
    <cellStyle name="Normal 3 4 6 2 2 2" xfId="6915"/>
    <cellStyle name="Normal 3 4 6 2 3" xfId="6916"/>
    <cellStyle name="Normal 3 4 6 3" xfId="6917"/>
    <cellStyle name="Normal 3 4 6 3 2" xfId="6918"/>
    <cellStyle name="Normal 3 4 6 4" xfId="6919"/>
    <cellStyle name="Normal 3 4 7" xfId="6920"/>
    <cellStyle name="Normal 3 4 7 2" xfId="6921"/>
    <cellStyle name="Normal 3 4 7 2 2" xfId="6922"/>
    <cellStyle name="Normal 3 4 7 2 2 2" xfId="6923"/>
    <cellStyle name="Normal 3 4 7 2 3" xfId="6924"/>
    <cellStyle name="Normal 3 4 7 3" xfId="6925"/>
    <cellStyle name="Normal 3 4 7 3 2" xfId="6926"/>
    <cellStyle name="Normal 3 4 7 4" xfId="6927"/>
    <cellStyle name="Normal 3 4 8" xfId="6928"/>
    <cellStyle name="Normal 3 4 8 2" xfId="6929"/>
    <cellStyle name="Normal 3 4 8 2 2" xfId="6930"/>
    <cellStyle name="Normal 3 4 8 3" xfId="6931"/>
    <cellStyle name="Normal 3 4 9" xfId="6932"/>
    <cellStyle name="Normal 3 4 9 2" xfId="6933"/>
    <cellStyle name="Normal 3 5" xfId="6934"/>
    <cellStyle name="Normal 3 5 10" xfId="6935"/>
    <cellStyle name="Normal 3 5 11" xfId="9036"/>
    <cellStyle name="Normal 3 5 11 2" xfId="16853"/>
    <cellStyle name="Normal 3 5 2" xfId="6936"/>
    <cellStyle name="Normal 3 5 2 2" xfId="6937"/>
    <cellStyle name="Normal 3 5 2 2 2" xfId="6938"/>
    <cellStyle name="Normal 3 5 2 2 2 2" xfId="6939"/>
    <cellStyle name="Normal 3 5 2 2 2 2 2" xfId="6940"/>
    <cellStyle name="Normal 3 5 2 2 2 2 2 2" xfId="6941"/>
    <cellStyle name="Normal 3 5 2 2 2 2 3" xfId="6942"/>
    <cellStyle name="Normal 3 5 2 2 2 2 3 2" xfId="6943"/>
    <cellStyle name="Normal 3 5 2 2 2 2 4" xfId="6944"/>
    <cellStyle name="Normal 3 5 2 2 2 3" xfId="6945"/>
    <cellStyle name="Normal 3 5 2 2 2 3 2" xfId="6946"/>
    <cellStyle name="Normal 3 5 2 2 2 3 2 2" xfId="6947"/>
    <cellStyle name="Normal 3 5 2 2 2 3 3" xfId="6948"/>
    <cellStyle name="Normal 3 5 2 2 2 4" xfId="6949"/>
    <cellStyle name="Normal 3 5 2 2 2 4 2" xfId="6950"/>
    <cellStyle name="Normal 3 5 2 2 2 5" xfId="6951"/>
    <cellStyle name="Normal 3 5 2 2 3" xfId="6952"/>
    <cellStyle name="Normal 3 5 2 2 3 2" xfId="6953"/>
    <cellStyle name="Normal 3 5 2 2 3 2 2" xfId="6954"/>
    <cellStyle name="Normal 3 5 2 2 3 2 2 2" xfId="6955"/>
    <cellStyle name="Normal 3 5 2 2 3 2 3" xfId="6956"/>
    <cellStyle name="Normal 3 5 2 2 3 3" xfId="6957"/>
    <cellStyle name="Normal 3 5 2 2 3 3 2" xfId="6958"/>
    <cellStyle name="Normal 3 5 2 2 3 4" xfId="6959"/>
    <cellStyle name="Normal 3 5 2 2 3 4 2" xfId="6960"/>
    <cellStyle name="Normal 3 5 2 2 3 5" xfId="6961"/>
    <cellStyle name="Normal 3 5 2 2 4" xfId="6962"/>
    <cellStyle name="Normal 3 5 2 2 4 2" xfId="6963"/>
    <cellStyle name="Normal 3 5 2 2 4 2 2" xfId="6964"/>
    <cellStyle name="Normal 3 5 2 2 4 3" xfId="6965"/>
    <cellStyle name="Normal 3 5 2 2 5" xfId="6966"/>
    <cellStyle name="Normal 3 5 2 2 5 2" xfId="6967"/>
    <cellStyle name="Normal 3 5 2 2 6" xfId="6968"/>
    <cellStyle name="Normal 3 5 2 3" xfId="6969"/>
    <cellStyle name="Normal 3 5 2 3 2" xfId="6970"/>
    <cellStyle name="Normal 3 5 2 3 2 2" xfId="6971"/>
    <cellStyle name="Normal 3 5 2 3 2 2 2" xfId="6972"/>
    <cellStyle name="Normal 3 5 2 3 2 3" xfId="6973"/>
    <cellStyle name="Normal 3 5 2 3 2 3 2" xfId="6974"/>
    <cellStyle name="Normal 3 5 2 3 2 4" xfId="6975"/>
    <cellStyle name="Normal 3 5 2 3 3" xfId="6976"/>
    <cellStyle name="Normal 3 5 2 3 3 2" xfId="6977"/>
    <cellStyle name="Normal 3 5 2 3 3 2 2" xfId="6978"/>
    <cellStyle name="Normal 3 5 2 3 3 3" xfId="6979"/>
    <cellStyle name="Normal 3 5 2 3 4" xfId="6980"/>
    <cellStyle name="Normal 3 5 2 3 4 2" xfId="6981"/>
    <cellStyle name="Normal 3 5 2 3 5" xfId="6982"/>
    <cellStyle name="Normal 3 5 2 4" xfId="6983"/>
    <cellStyle name="Normal 3 5 2 4 2" xfId="6984"/>
    <cellStyle name="Normal 3 5 2 4 2 2" xfId="6985"/>
    <cellStyle name="Normal 3 5 2 4 2 2 2" xfId="6986"/>
    <cellStyle name="Normal 3 5 2 4 2 3" xfId="6987"/>
    <cellStyle name="Normal 3 5 2 4 3" xfId="6988"/>
    <cellStyle name="Normal 3 5 2 4 3 2" xfId="6989"/>
    <cellStyle name="Normal 3 5 2 4 4" xfId="6990"/>
    <cellStyle name="Normal 3 5 2 5" xfId="6991"/>
    <cellStyle name="Normal 3 5 2 5 2" xfId="6992"/>
    <cellStyle name="Normal 3 5 2 5 2 2" xfId="6993"/>
    <cellStyle name="Normal 3 5 2 5 2 2 2" xfId="6994"/>
    <cellStyle name="Normal 3 5 2 5 2 3" xfId="6995"/>
    <cellStyle name="Normal 3 5 2 5 3" xfId="6996"/>
    <cellStyle name="Normal 3 5 2 5 3 2" xfId="6997"/>
    <cellStyle name="Normal 3 5 2 5 4" xfId="6998"/>
    <cellStyle name="Normal 3 5 2 5 4 2" xfId="6999"/>
    <cellStyle name="Normal 3 5 2 5 5" xfId="7000"/>
    <cellStyle name="Normal 3 5 2 6" xfId="7001"/>
    <cellStyle name="Normal 3 5 2 6 2" xfId="7002"/>
    <cellStyle name="Normal 3 5 2 6 2 2" xfId="7003"/>
    <cellStyle name="Normal 3 5 2 6 3" xfId="7004"/>
    <cellStyle name="Normal 3 5 2 7" xfId="7005"/>
    <cellStyle name="Normal 3 5 2 7 2" xfId="7006"/>
    <cellStyle name="Normal 3 5 2 8" xfId="7007"/>
    <cellStyle name="Normal 3 5 3" xfId="7008"/>
    <cellStyle name="Normal 3 5 3 2" xfId="7009"/>
    <cellStyle name="Normal 3 5 3 2 2" xfId="7010"/>
    <cellStyle name="Normal 3 5 3 2 2 2" xfId="7011"/>
    <cellStyle name="Normal 3 5 3 2 2 2 2" xfId="7012"/>
    <cellStyle name="Normal 3 5 3 2 2 3" xfId="7013"/>
    <cellStyle name="Normal 3 5 3 2 2 3 2" xfId="7014"/>
    <cellStyle name="Normal 3 5 3 2 2 4" xfId="7015"/>
    <cellStyle name="Normal 3 5 3 2 3" xfId="7016"/>
    <cellStyle name="Normal 3 5 3 2 3 2" xfId="7017"/>
    <cellStyle name="Normal 3 5 3 2 3 2 2" xfId="7018"/>
    <cellStyle name="Normal 3 5 3 2 3 3" xfId="7019"/>
    <cellStyle name="Normal 3 5 3 2 4" xfId="7020"/>
    <cellStyle name="Normal 3 5 3 2 4 2" xfId="7021"/>
    <cellStyle name="Normal 3 5 3 2 5" xfId="7022"/>
    <cellStyle name="Normal 3 5 3 3" xfId="7023"/>
    <cellStyle name="Normal 3 5 3 3 2" xfId="7024"/>
    <cellStyle name="Normal 3 5 3 3 2 2" xfId="7025"/>
    <cellStyle name="Normal 3 5 3 3 2 2 2" xfId="7026"/>
    <cellStyle name="Normal 3 5 3 3 2 3" xfId="7027"/>
    <cellStyle name="Normal 3 5 3 3 3" xfId="7028"/>
    <cellStyle name="Normal 3 5 3 3 3 2" xfId="7029"/>
    <cellStyle name="Normal 3 5 3 3 4" xfId="7030"/>
    <cellStyle name="Normal 3 5 3 3 4 2" xfId="7031"/>
    <cellStyle name="Normal 3 5 3 3 5" xfId="7032"/>
    <cellStyle name="Normal 3 5 3 4" xfId="7033"/>
    <cellStyle name="Normal 3 5 3 4 2" xfId="7034"/>
    <cellStyle name="Normal 3 5 3 4 2 2" xfId="7035"/>
    <cellStyle name="Normal 3 5 3 4 3" xfId="7036"/>
    <cellStyle name="Normal 3 5 3 5" xfId="7037"/>
    <cellStyle name="Normal 3 5 3 5 2" xfId="7038"/>
    <cellStyle name="Normal 3 5 3 6" xfId="7039"/>
    <cellStyle name="Normal 3 5 4" xfId="7040"/>
    <cellStyle name="Normal 3 5 4 2" xfId="7041"/>
    <cellStyle name="Normal 3 5 4 2 2" xfId="7042"/>
    <cellStyle name="Normal 3 5 4 2 2 2" xfId="7043"/>
    <cellStyle name="Normal 3 5 4 2 3" xfId="7044"/>
    <cellStyle name="Normal 3 5 4 2 3 2" xfId="7045"/>
    <cellStyle name="Normal 3 5 4 2 4" xfId="7046"/>
    <cellStyle name="Normal 3 5 4 3" xfId="7047"/>
    <cellStyle name="Normal 3 5 4 3 2" xfId="7048"/>
    <cellStyle name="Normal 3 5 4 3 2 2" xfId="7049"/>
    <cellStyle name="Normal 3 5 4 3 3" xfId="7050"/>
    <cellStyle name="Normal 3 5 4 4" xfId="7051"/>
    <cellStyle name="Normal 3 5 4 4 2" xfId="7052"/>
    <cellStyle name="Normal 3 5 4 5" xfId="7053"/>
    <cellStyle name="Normal 3 5 5" xfId="7054"/>
    <cellStyle name="Normal 3 5 5 2" xfId="7055"/>
    <cellStyle name="Normal 3 5 5 2 2" xfId="7056"/>
    <cellStyle name="Normal 3 5 5 2 2 2" xfId="7057"/>
    <cellStyle name="Normal 3 5 5 2 3" xfId="7058"/>
    <cellStyle name="Normal 3 5 5 3" xfId="7059"/>
    <cellStyle name="Normal 3 5 5 3 2" xfId="7060"/>
    <cellStyle name="Normal 3 5 5 4" xfId="7061"/>
    <cellStyle name="Normal 3 5 6" xfId="7062"/>
    <cellStyle name="Normal 3 5 6 2" xfId="7063"/>
    <cellStyle name="Normal 3 5 6 2 2" xfId="7064"/>
    <cellStyle name="Normal 3 5 6 2 2 2" xfId="7065"/>
    <cellStyle name="Normal 3 5 6 2 3" xfId="7066"/>
    <cellStyle name="Normal 3 5 6 3" xfId="7067"/>
    <cellStyle name="Normal 3 5 6 3 2" xfId="7068"/>
    <cellStyle name="Normal 3 5 6 4" xfId="7069"/>
    <cellStyle name="Normal 3 5 7" xfId="7070"/>
    <cellStyle name="Normal 3 5 7 2" xfId="7071"/>
    <cellStyle name="Normal 3 5 7 2 2" xfId="7072"/>
    <cellStyle name="Normal 3 5 7 3" xfId="7073"/>
    <cellStyle name="Normal 3 5 8" xfId="7074"/>
    <cellStyle name="Normal 3 5 8 2" xfId="7075"/>
    <cellStyle name="Normal 3 5 9" xfId="7076"/>
    <cellStyle name="Normal 3 5 9 2" xfId="7077"/>
    <cellStyle name="Normal 3 6" xfId="7078"/>
    <cellStyle name="Normal 3 6 2" xfId="7079"/>
    <cellStyle name="Normal 3 6 2 2" xfId="7080"/>
    <cellStyle name="Normal 3 6 2 2 2" xfId="7081"/>
    <cellStyle name="Normal 3 6 2 2 2 2" xfId="7082"/>
    <cellStyle name="Normal 3 6 2 2 2 2 2" xfId="7083"/>
    <cellStyle name="Normal 3 6 2 2 2 3" xfId="7084"/>
    <cellStyle name="Normal 3 6 2 2 2 3 2" xfId="7085"/>
    <cellStyle name="Normal 3 6 2 2 2 4" xfId="7086"/>
    <cellStyle name="Normal 3 6 2 2 3" xfId="7087"/>
    <cellStyle name="Normal 3 6 2 2 3 2" xfId="7088"/>
    <cellStyle name="Normal 3 6 2 2 3 2 2" xfId="7089"/>
    <cellStyle name="Normal 3 6 2 2 3 3" xfId="7090"/>
    <cellStyle name="Normal 3 6 2 2 4" xfId="7091"/>
    <cellStyle name="Normal 3 6 2 2 4 2" xfId="7092"/>
    <cellStyle name="Normal 3 6 2 2 5" xfId="7093"/>
    <cellStyle name="Normal 3 6 2 3" xfId="7094"/>
    <cellStyle name="Normal 3 6 2 3 2" xfId="7095"/>
    <cellStyle name="Normal 3 6 2 3 2 2" xfId="7096"/>
    <cellStyle name="Normal 3 6 2 3 2 2 2" xfId="7097"/>
    <cellStyle name="Normal 3 6 2 3 2 3" xfId="7098"/>
    <cellStyle name="Normal 3 6 2 3 3" xfId="7099"/>
    <cellStyle name="Normal 3 6 2 3 3 2" xfId="7100"/>
    <cellStyle name="Normal 3 6 2 3 4" xfId="7101"/>
    <cellStyle name="Normal 3 6 2 3 4 2" xfId="7102"/>
    <cellStyle name="Normal 3 6 2 3 5" xfId="7103"/>
    <cellStyle name="Normal 3 6 2 4" xfId="7104"/>
    <cellStyle name="Normal 3 6 2 4 2" xfId="7105"/>
    <cellStyle name="Normal 3 6 2 4 2 2" xfId="7106"/>
    <cellStyle name="Normal 3 6 2 4 3" xfId="7107"/>
    <cellStyle name="Normal 3 6 2 5" xfId="7108"/>
    <cellStyle name="Normal 3 6 2 5 2" xfId="7109"/>
    <cellStyle name="Normal 3 6 2 6" xfId="7110"/>
    <cellStyle name="Normal 3 6 3" xfId="7111"/>
    <cellStyle name="Normal 3 6 3 2" xfId="7112"/>
    <cellStyle name="Normal 3 6 3 2 2" xfId="7113"/>
    <cellStyle name="Normal 3 6 3 2 2 2" xfId="7114"/>
    <cellStyle name="Normal 3 6 3 2 3" xfId="7115"/>
    <cellStyle name="Normal 3 6 3 2 3 2" xfId="7116"/>
    <cellStyle name="Normal 3 6 3 2 4" xfId="7117"/>
    <cellStyle name="Normal 3 6 3 3" xfId="7118"/>
    <cellStyle name="Normal 3 6 3 3 2" xfId="7119"/>
    <cellStyle name="Normal 3 6 3 3 2 2" xfId="7120"/>
    <cellStyle name="Normal 3 6 3 3 3" xfId="7121"/>
    <cellStyle name="Normal 3 6 3 4" xfId="7122"/>
    <cellStyle name="Normal 3 6 3 4 2" xfId="7123"/>
    <cellStyle name="Normal 3 6 3 5" xfId="7124"/>
    <cellStyle name="Normal 3 6 4" xfId="7125"/>
    <cellStyle name="Normal 3 6 4 2" xfId="7126"/>
    <cellStyle name="Normal 3 6 4 2 2" xfId="7127"/>
    <cellStyle name="Normal 3 6 4 2 2 2" xfId="7128"/>
    <cellStyle name="Normal 3 6 4 2 3" xfId="7129"/>
    <cellStyle name="Normal 3 6 4 3" xfId="7130"/>
    <cellStyle name="Normal 3 6 4 3 2" xfId="7131"/>
    <cellStyle name="Normal 3 6 4 4" xfId="7132"/>
    <cellStyle name="Normal 3 6 5" xfId="7133"/>
    <cellStyle name="Normal 3 6 5 2" xfId="7134"/>
    <cellStyle name="Normal 3 6 5 2 2" xfId="7135"/>
    <cellStyle name="Normal 3 6 5 2 2 2" xfId="7136"/>
    <cellStyle name="Normal 3 6 5 2 3" xfId="7137"/>
    <cellStyle name="Normal 3 6 5 3" xfId="7138"/>
    <cellStyle name="Normal 3 6 5 3 2" xfId="7139"/>
    <cellStyle name="Normal 3 6 5 4" xfId="7140"/>
    <cellStyle name="Normal 3 6 5 4 2" xfId="7141"/>
    <cellStyle name="Normal 3 6 5 5" xfId="7142"/>
    <cellStyle name="Normal 3 6 6" xfId="7143"/>
    <cellStyle name="Normal 3 6 6 2" xfId="7144"/>
    <cellStyle name="Normal 3 6 6 2 2" xfId="7145"/>
    <cellStyle name="Normal 3 6 6 3" xfId="7146"/>
    <cellStyle name="Normal 3 6 7" xfId="7147"/>
    <cellStyle name="Normal 3 6 7 2" xfId="7148"/>
    <cellStyle name="Normal 3 6 8" xfId="7149"/>
    <cellStyle name="Normal 3 6 9" xfId="8996"/>
    <cellStyle name="Normal 3 7" xfId="7150"/>
    <cellStyle name="Normal 3 7 2" xfId="7151"/>
    <cellStyle name="Normal 3 7 2 2" xfId="7152"/>
    <cellStyle name="Normal 3 7 2 2 2" xfId="7153"/>
    <cellStyle name="Normal 3 7 2 2 2 2" xfId="7154"/>
    <cellStyle name="Normal 3 7 2 2 3" xfId="7155"/>
    <cellStyle name="Normal 3 7 2 2 3 2" xfId="7156"/>
    <cellStyle name="Normal 3 7 2 2 4" xfId="7157"/>
    <cellStyle name="Normal 3 7 2 3" xfId="7158"/>
    <cellStyle name="Normal 3 7 2 3 2" xfId="7159"/>
    <cellStyle name="Normal 3 7 2 3 2 2" xfId="7160"/>
    <cellStyle name="Normal 3 7 2 3 3" xfId="7161"/>
    <cellStyle name="Normal 3 7 2 4" xfId="7162"/>
    <cellStyle name="Normal 3 7 2 4 2" xfId="7163"/>
    <cellStyle name="Normal 3 7 2 5" xfId="7164"/>
    <cellStyle name="Normal 3 7 3" xfId="7165"/>
    <cellStyle name="Normal 3 7 3 2" xfId="7166"/>
    <cellStyle name="Normal 3 7 3 2 2" xfId="7167"/>
    <cellStyle name="Normal 3 7 3 2 2 2" xfId="7168"/>
    <cellStyle name="Normal 3 7 3 2 3" xfId="7169"/>
    <cellStyle name="Normal 3 7 3 3" xfId="7170"/>
    <cellStyle name="Normal 3 7 3 3 2" xfId="7171"/>
    <cellStyle name="Normal 3 7 3 4" xfId="7172"/>
    <cellStyle name="Normal 3 7 3 4 2" xfId="7173"/>
    <cellStyle name="Normal 3 7 3 5" xfId="7174"/>
    <cellStyle name="Normal 3 7 4" xfId="7175"/>
    <cellStyle name="Normal 3 7 4 2" xfId="7176"/>
    <cellStyle name="Normal 3 7 4 2 2" xfId="7177"/>
    <cellStyle name="Normal 3 7 4 3" xfId="7178"/>
    <cellStyle name="Normal 3 7 5" xfId="7179"/>
    <cellStyle name="Normal 3 7 5 2" xfId="7180"/>
    <cellStyle name="Normal 3 7 6" xfId="7181"/>
    <cellStyle name="Normal 3 8" xfId="7182"/>
    <cellStyle name="Normal 3 8 2" xfId="7183"/>
    <cellStyle name="Normal 3 8 2 2" xfId="7184"/>
    <cellStyle name="Normal 3 8 2 2 2" xfId="7185"/>
    <cellStyle name="Normal 3 8 2 3" xfId="7186"/>
    <cellStyle name="Normal 3 8 2 3 2" xfId="7187"/>
    <cellStyle name="Normal 3 8 2 4" xfId="7188"/>
    <cellStyle name="Normal 3 8 3" xfId="7189"/>
    <cellStyle name="Normal 3 8 3 2" xfId="7190"/>
    <cellStyle name="Normal 3 8 3 2 2" xfId="7191"/>
    <cellStyle name="Normal 3 8 3 3" xfId="7192"/>
    <cellStyle name="Normal 3 8 4" xfId="7193"/>
    <cellStyle name="Normal 3 8 4 2" xfId="7194"/>
    <cellStyle name="Normal 3 8 5" xfId="7195"/>
    <cellStyle name="Normal 3 9" xfId="7196"/>
    <cellStyle name="Normal 3 9 2" xfId="7197"/>
    <cellStyle name="Normal 3 9 2 2" xfId="7198"/>
    <cellStyle name="Normal 3 9 2 2 2" xfId="7199"/>
    <cellStyle name="Normal 3 9 2 3" xfId="7200"/>
    <cellStyle name="Normal 3 9 3" xfId="7201"/>
    <cellStyle name="Normal 3 9 3 2" xfId="7202"/>
    <cellStyle name="Normal 3 9 4" xfId="7203"/>
    <cellStyle name="Normal 30" xfId="9038"/>
    <cellStyle name="Normal 30 2" xfId="16854"/>
    <cellStyle name="Normal 31" xfId="12961"/>
    <cellStyle name="Normal 4" xfId="11"/>
    <cellStyle name="Normal 4 2" xfId="21"/>
    <cellStyle name="Normal 4 2 2" xfId="7205"/>
    <cellStyle name="Normal 4 2 2 2" xfId="9020"/>
    <cellStyle name="Normal 4 2 2 2 2" xfId="16850"/>
    <cellStyle name="Normal 4 2 3" xfId="9003"/>
    <cellStyle name="Normal 4 2 4" xfId="8959"/>
    <cellStyle name="Normal 4 2 4 2" xfId="16842"/>
    <cellStyle name="Normal 4 2 5" xfId="12965"/>
    <cellStyle name="Normal 4 3" xfId="7206"/>
    <cellStyle name="Normal 4 3 2" xfId="9008"/>
    <cellStyle name="Normal 4 3 2 2" xfId="16847"/>
    <cellStyle name="Normal 4 4" xfId="8912"/>
    <cellStyle name="Normal 4 5" xfId="7204"/>
    <cellStyle name="Normal 4 6" xfId="12958"/>
    <cellStyle name="Normal 4 7" xfId="12963"/>
    <cellStyle name="Normal 5" xfId="17"/>
    <cellStyle name="Normal 5 10" xfId="7207"/>
    <cellStyle name="Normal 5 10 2" xfId="7208"/>
    <cellStyle name="Normal 5 10 2 2" xfId="7209"/>
    <cellStyle name="Normal 5 10 3" xfId="7210"/>
    <cellStyle name="Normal 5 11" xfId="7211"/>
    <cellStyle name="Normal 5 11 2" xfId="7212"/>
    <cellStyle name="Normal 5 12" xfId="7213"/>
    <cellStyle name="Normal 5 12 2" xfId="7214"/>
    <cellStyle name="Normal 5 13" xfId="7215"/>
    <cellStyle name="Normal 5 14" xfId="7216"/>
    <cellStyle name="Normal 5 15" xfId="7217"/>
    <cellStyle name="Normal 5 16" xfId="8913"/>
    <cellStyle name="Normal 5 17" xfId="8960"/>
    <cellStyle name="Normal 5 2" xfId="7218"/>
    <cellStyle name="Normal 5 2 10" xfId="7219"/>
    <cellStyle name="Normal 5 2 10 2" xfId="7220"/>
    <cellStyle name="Normal 5 2 11" xfId="7221"/>
    <cellStyle name="Normal 5 2 2" xfId="7222"/>
    <cellStyle name="Normal 5 2 2 10" xfId="7223"/>
    <cellStyle name="Normal 5 2 2 2" xfId="7224"/>
    <cellStyle name="Normal 5 2 2 2 2" xfId="7225"/>
    <cellStyle name="Normal 5 2 2 2 2 2" xfId="7226"/>
    <cellStyle name="Normal 5 2 2 2 2 2 2" xfId="7227"/>
    <cellStyle name="Normal 5 2 2 2 2 2 2 2" xfId="7228"/>
    <cellStyle name="Normal 5 2 2 2 2 2 2 2 2" xfId="7229"/>
    <cellStyle name="Normal 5 2 2 2 2 2 2 3" xfId="7230"/>
    <cellStyle name="Normal 5 2 2 2 2 2 2 3 2" xfId="7231"/>
    <cellStyle name="Normal 5 2 2 2 2 2 2 4" xfId="7232"/>
    <cellStyle name="Normal 5 2 2 2 2 2 3" xfId="7233"/>
    <cellStyle name="Normal 5 2 2 2 2 2 3 2" xfId="7234"/>
    <cellStyle name="Normal 5 2 2 2 2 2 3 2 2" xfId="7235"/>
    <cellStyle name="Normal 5 2 2 2 2 2 3 3" xfId="7236"/>
    <cellStyle name="Normal 5 2 2 2 2 2 4" xfId="7237"/>
    <cellStyle name="Normal 5 2 2 2 2 2 4 2" xfId="7238"/>
    <cellStyle name="Normal 5 2 2 2 2 2 5" xfId="7239"/>
    <cellStyle name="Normal 5 2 2 2 2 3" xfId="7240"/>
    <cellStyle name="Normal 5 2 2 2 2 3 2" xfId="7241"/>
    <cellStyle name="Normal 5 2 2 2 2 3 2 2" xfId="7242"/>
    <cellStyle name="Normal 5 2 2 2 2 3 2 2 2" xfId="7243"/>
    <cellStyle name="Normal 5 2 2 2 2 3 2 3" xfId="7244"/>
    <cellStyle name="Normal 5 2 2 2 2 3 3" xfId="7245"/>
    <cellStyle name="Normal 5 2 2 2 2 3 3 2" xfId="7246"/>
    <cellStyle name="Normal 5 2 2 2 2 3 4" xfId="7247"/>
    <cellStyle name="Normal 5 2 2 2 2 3 4 2" xfId="7248"/>
    <cellStyle name="Normal 5 2 2 2 2 3 5" xfId="7249"/>
    <cellStyle name="Normal 5 2 2 2 2 4" xfId="7250"/>
    <cellStyle name="Normal 5 2 2 2 2 4 2" xfId="7251"/>
    <cellStyle name="Normal 5 2 2 2 2 4 2 2" xfId="7252"/>
    <cellStyle name="Normal 5 2 2 2 2 4 3" xfId="7253"/>
    <cellStyle name="Normal 5 2 2 2 2 5" xfId="7254"/>
    <cellStyle name="Normal 5 2 2 2 2 5 2" xfId="7255"/>
    <cellStyle name="Normal 5 2 2 2 2 6" xfId="7256"/>
    <cellStyle name="Normal 5 2 2 2 3" xfId="7257"/>
    <cellStyle name="Normal 5 2 2 2 3 2" xfId="7258"/>
    <cellStyle name="Normal 5 2 2 2 3 2 2" xfId="7259"/>
    <cellStyle name="Normal 5 2 2 2 3 2 2 2" xfId="7260"/>
    <cellStyle name="Normal 5 2 2 2 3 2 3" xfId="7261"/>
    <cellStyle name="Normal 5 2 2 2 3 2 3 2" xfId="7262"/>
    <cellStyle name="Normal 5 2 2 2 3 2 4" xfId="7263"/>
    <cellStyle name="Normal 5 2 2 2 3 3" xfId="7264"/>
    <cellStyle name="Normal 5 2 2 2 3 3 2" xfId="7265"/>
    <cellStyle name="Normal 5 2 2 2 3 3 2 2" xfId="7266"/>
    <cellStyle name="Normal 5 2 2 2 3 3 3" xfId="7267"/>
    <cellStyle name="Normal 5 2 2 2 3 4" xfId="7268"/>
    <cellStyle name="Normal 5 2 2 2 3 4 2" xfId="7269"/>
    <cellStyle name="Normal 5 2 2 2 3 5" xfId="7270"/>
    <cellStyle name="Normal 5 2 2 2 4" xfId="7271"/>
    <cellStyle name="Normal 5 2 2 2 4 2" xfId="7272"/>
    <cellStyle name="Normal 5 2 2 2 4 2 2" xfId="7273"/>
    <cellStyle name="Normal 5 2 2 2 4 2 2 2" xfId="7274"/>
    <cellStyle name="Normal 5 2 2 2 4 2 3" xfId="7275"/>
    <cellStyle name="Normal 5 2 2 2 4 3" xfId="7276"/>
    <cellStyle name="Normal 5 2 2 2 4 3 2" xfId="7277"/>
    <cellStyle name="Normal 5 2 2 2 4 4" xfId="7278"/>
    <cellStyle name="Normal 5 2 2 2 5" xfId="7279"/>
    <cellStyle name="Normal 5 2 2 2 5 2" xfId="7280"/>
    <cellStyle name="Normal 5 2 2 2 5 2 2" xfId="7281"/>
    <cellStyle name="Normal 5 2 2 2 5 2 2 2" xfId="7282"/>
    <cellStyle name="Normal 5 2 2 2 5 2 3" xfId="7283"/>
    <cellStyle name="Normal 5 2 2 2 5 3" xfId="7284"/>
    <cellStyle name="Normal 5 2 2 2 5 3 2" xfId="7285"/>
    <cellStyle name="Normal 5 2 2 2 5 4" xfId="7286"/>
    <cellStyle name="Normal 5 2 2 2 5 4 2" xfId="7287"/>
    <cellStyle name="Normal 5 2 2 2 5 5" xfId="7288"/>
    <cellStyle name="Normal 5 2 2 2 6" xfId="7289"/>
    <cellStyle name="Normal 5 2 2 2 6 2" xfId="7290"/>
    <cellStyle name="Normal 5 2 2 2 6 2 2" xfId="7291"/>
    <cellStyle name="Normal 5 2 2 2 6 3" xfId="7292"/>
    <cellStyle name="Normal 5 2 2 2 7" xfId="7293"/>
    <cellStyle name="Normal 5 2 2 2 7 2" xfId="7294"/>
    <cellStyle name="Normal 5 2 2 2 8" xfId="7295"/>
    <cellStyle name="Normal 5 2 2 3" xfId="7296"/>
    <cellStyle name="Normal 5 2 2 3 2" xfId="7297"/>
    <cellStyle name="Normal 5 2 2 3 2 2" xfId="7298"/>
    <cellStyle name="Normal 5 2 2 3 2 2 2" xfId="7299"/>
    <cellStyle name="Normal 5 2 2 3 2 2 2 2" xfId="7300"/>
    <cellStyle name="Normal 5 2 2 3 2 2 3" xfId="7301"/>
    <cellStyle name="Normal 5 2 2 3 2 2 3 2" xfId="7302"/>
    <cellStyle name="Normal 5 2 2 3 2 2 4" xfId="7303"/>
    <cellStyle name="Normal 5 2 2 3 2 3" xfId="7304"/>
    <cellStyle name="Normal 5 2 2 3 2 3 2" xfId="7305"/>
    <cellStyle name="Normal 5 2 2 3 2 3 2 2" xfId="7306"/>
    <cellStyle name="Normal 5 2 2 3 2 3 3" xfId="7307"/>
    <cellStyle name="Normal 5 2 2 3 2 4" xfId="7308"/>
    <cellStyle name="Normal 5 2 2 3 2 4 2" xfId="7309"/>
    <cellStyle name="Normal 5 2 2 3 2 5" xfId="7310"/>
    <cellStyle name="Normal 5 2 2 3 3" xfId="7311"/>
    <cellStyle name="Normal 5 2 2 3 3 2" xfId="7312"/>
    <cellStyle name="Normal 5 2 2 3 3 2 2" xfId="7313"/>
    <cellStyle name="Normal 5 2 2 3 3 2 2 2" xfId="7314"/>
    <cellStyle name="Normal 5 2 2 3 3 2 3" xfId="7315"/>
    <cellStyle name="Normal 5 2 2 3 3 3" xfId="7316"/>
    <cellStyle name="Normal 5 2 2 3 3 3 2" xfId="7317"/>
    <cellStyle name="Normal 5 2 2 3 3 4" xfId="7318"/>
    <cellStyle name="Normal 5 2 2 3 3 4 2" xfId="7319"/>
    <cellStyle name="Normal 5 2 2 3 3 5" xfId="7320"/>
    <cellStyle name="Normal 5 2 2 3 4" xfId="7321"/>
    <cellStyle name="Normal 5 2 2 3 4 2" xfId="7322"/>
    <cellStyle name="Normal 5 2 2 3 4 2 2" xfId="7323"/>
    <cellStyle name="Normal 5 2 2 3 4 3" xfId="7324"/>
    <cellStyle name="Normal 5 2 2 3 5" xfId="7325"/>
    <cellStyle name="Normal 5 2 2 3 5 2" xfId="7326"/>
    <cellStyle name="Normal 5 2 2 3 6" xfId="7327"/>
    <cellStyle name="Normal 5 2 2 4" xfId="7328"/>
    <cellStyle name="Normal 5 2 2 4 2" xfId="7329"/>
    <cellStyle name="Normal 5 2 2 4 2 2" xfId="7330"/>
    <cellStyle name="Normal 5 2 2 4 2 2 2" xfId="7331"/>
    <cellStyle name="Normal 5 2 2 4 2 3" xfId="7332"/>
    <cellStyle name="Normal 5 2 2 4 2 3 2" xfId="7333"/>
    <cellStyle name="Normal 5 2 2 4 2 4" xfId="7334"/>
    <cellStyle name="Normal 5 2 2 4 3" xfId="7335"/>
    <cellStyle name="Normal 5 2 2 4 3 2" xfId="7336"/>
    <cellStyle name="Normal 5 2 2 4 3 2 2" xfId="7337"/>
    <cellStyle name="Normal 5 2 2 4 3 3" xfId="7338"/>
    <cellStyle name="Normal 5 2 2 4 4" xfId="7339"/>
    <cellStyle name="Normal 5 2 2 4 4 2" xfId="7340"/>
    <cellStyle name="Normal 5 2 2 4 5" xfId="7341"/>
    <cellStyle name="Normal 5 2 2 5" xfId="7342"/>
    <cellStyle name="Normal 5 2 2 5 2" xfId="7343"/>
    <cellStyle name="Normal 5 2 2 5 2 2" xfId="7344"/>
    <cellStyle name="Normal 5 2 2 5 2 2 2" xfId="7345"/>
    <cellStyle name="Normal 5 2 2 5 2 3" xfId="7346"/>
    <cellStyle name="Normal 5 2 2 5 3" xfId="7347"/>
    <cellStyle name="Normal 5 2 2 5 3 2" xfId="7348"/>
    <cellStyle name="Normal 5 2 2 5 4" xfId="7349"/>
    <cellStyle name="Normal 5 2 2 6" xfId="7350"/>
    <cellStyle name="Normal 5 2 2 6 2" xfId="7351"/>
    <cellStyle name="Normal 5 2 2 6 2 2" xfId="7352"/>
    <cellStyle name="Normal 5 2 2 6 2 2 2" xfId="7353"/>
    <cellStyle name="Normal 5 2 2 6 2 3" xfId="7354"/>
    <cellStyle name="Normal 5 2 2 6 3" xfId="7355"/>
    <cellStyle name="Normal 5 2 2 6 3 2" xfId="7356"/>
    <cellStyle name="Normal 5 2 2 6 4" xfId="7357"/>
    <cellStyle name="Normal 5 2 2 7" xfId="7358"/>
    <cellStyle name="Normal 5 2 2 7 2" xfId="7359"/>
    <cellStyle name="Normal 5 2 2 7 2 2" xfId="7360"/>
    <cellStyle name="Normal 5 2 2 7 3" xfId="7361"/>
    <cellStyle name="Normal 5 2 2 8" xfId="7362"/>
    <cellStyle name="Normal 5 2 2 8 2" xfId="7363"/>
    <cellStyle name="Normal 5 2 2 9" xfId="7364"/>
    <cellStyle name="Normal 5 2 2 9 2" xfId="7365"/>
    <cellStyle name="Normal 5 2 3" xfId="7366"/>
    <cellStyle name="Normal 5 2 3 2" xfId="7367"/>
    <cellStyle name="Normal 5 2 3 2 2" xfId="7368"/>
    <cellStyle name="Normal 5 2 3 2 2 2" xfId="7369"/>
    <cellStyle name="Normal 5 2 3 2 2 2 2" xfId="7370"/>
    <cellStyle name="Normal 5 2 3 2 2 2 2 2" xfId="7371"/>
    <cellStyle name="Normal 5 2 3 2 2 2 3" xfId="7372"/>
    <cellStyle name="Normal 5 2 3 2 2 2 3 2" xfId="7373"/>
    <cellStyle name="Normal 5 2 3 2 2 2 4" xfId="7374"/>
    <cellStyle name="Normal 5 2 3 2 2 3" xfId="7375"/>
    <cellStyle name="Normal 5 2 3 2 2 3 2" xfId="7376"/>
    <cellStyle name="Normal 5 2 3 2 2 3 2 2" xfId="7377"/>
    <cellStyle name="Normal 5 2 3 2 2 3 3" xfId="7378"/>
    <cellStyle name="Normal 5 2 3 2 2 4" xfId="7379"/>
    <cellStyle name="Normal 5 2 3 2 2 4 2" xfId="7380"/>
    <cellStyle name="Normal 5 2 3 2 2 5" xfId="7381"/>
    <cellStyle name="Normal 5 2 3 2 3" xfId="7382"/>
    <cellStyle name="Normal 5 2 3 2 3 2" xfId="7383"/>
    <cellStyle name="Normal 5 2 3 2 3 2 2" xfId="7384"/>
    <cellStyle name="Normal 5 2 3 2 3 2 2 2" xfId="7385"/>
    <cellStyle name="Normal 5 2 3 2 3 2 3" xfId="7386"/>
    <cellStyle name="Normal 5 2 3 2 3 3" xfId="7387"/>
    <cellStyle name="Normal 5 2 3 2 3 3 2" xfId="7388"/>
    <cellStyle name="Normal 5 2 3 2 3 4" xfId="7389"/>
    <cellStyle name="Normal 5 2 3 2 3 4 2" xfId="7390"/>
    <cellStyle name="Normal 5 2 3 2 3 5" xfId="7391"/>
    <cellStyle name="Normal 5 2 3 2 4" xfId="7392"/>
    <cellStyle name="Normal 5 2 3 2 4 2" xfId="7393"/>
    <cellStyle name="Normal 5 2 3 2 4 2 2" xfId="7394"/>
    <cellStyle name="Normal 5 2 3 2 4 3" xfId="7395"/>
    <cellStyle name="Normal 5 2 3 2 5" xfId="7396"/>
    <cellStyle name="Normal 5 2 3 2 5 2" xfId="7397"/>
    <cellStyle name="Normal 5 2 3 2 6" xfId="7398"/>
    <cellStyle name="Normal 5 2 3 3" xfId="7399"/>
    <cellStyle name="Normal 5 2 3 3 2" xfId="7400"/>
    <cellStyle name="Normal 5 2 3 3 2 2" xfId="7401"/>
    <cellStyle name="Normal 5 2 3 3 2 2 2" xfId="7402"/>
    <cellStyle name="Normal 5 2 3 3 2 3" xfId="7403"/>
    <cellStyle name="Normal 5 2 3 3 2 3 2" xfId="7404"/>
    <cellStyle name="Normal 5 2 3 3 2 4" xfId="7405"/>
    <cellStyle name="Normal 5 2 3 3 3" xfId="7406"/>
    <cellStyle name="Normal 5 2 3 3 3 2" xfId="7407"/>
    <cellStyle name="Normal 5 2 3 3 3 2 2" xfId="7408"/>
    <cellStyle name="Normal 5 2 3 3 3 3" xfId="7409"/>
    <cellStyle name="Normal 5 2 3 3 4" xfId="7410"/>
    <cellStyle name="Normal 5 2 3 3 4 2" xfId="7411"/>
    <cellStyle name="Normal 5 2 3 3 5" xfId="7412"/>
    <cellStyle name="Normal 5 2 3 4" xfId="7413"/>
    <cellStyle name="Normal 5 2 3 4 2" xfId="7414"/>
    <cellStyle name="Normal 5 2 3 4 2 2" xfId="7415"/>
    <cellStyle name="Normal 5 2 3 4 2 2 2" xfId="7416"/>
    <cellStyle name="Normal 5 2 3 4 2 3" xfId="7417"/>
    <cellStyle name="Normal 5 2 3 4 3" xfId="7418"/>
    <cellStyle name="Normal 5 2 3 4 3 2" xfId="7419"/>
    <cellStyle name="Normal 5 2 3 4 4" xfId="7420"/>
    <cellStyle name="Normal 5 2 3 5" xfId="7421"/>
    <cellStyle name="Normal 5 2 3 5 2" xfId="7422"/>
    <cellStyle name="Normal 5 2 3 5 2 2" xfId="7423"/>
    <cellStyle name="Normal 5 2 3 5 2 2 2" xfId="7424"/>
    <cellStyle name="Normal 5 2 3 5 2 3" xfId="7425"/>
    <cellStyle name="Normal 5 2 3 5 3" xfId="7426"/>
    <cellStyle name="Normal 5 2 3 5 3 2" xfId="7427"/>
    <cellStyle name="Normal 5 2 3 5 4" xfId="7428"/>
    <cellStyle name="Normal 5 2 3 5 4 2" xfId="7429"/>
    <cellStyle name="Normal 5 2 3 5 5" xfId="7430"/>
    <cellStyle name="Normal 5 2 3 6" xfId="7431"/>
    <cellStyle name="Normal 5 2 3 6 2" xfId="7432"/>
    <cellStyle name="Normal 5 2 3 6 2 2" xfId="7433"/>
    <cellStyle name="Normal 5 2 3 6 3" xfId="7434"/>
    <cellStyle name="Normal 5 2 3 7" xfId="7435"/>
    <cellStyle name="Normal 5 2 3 7 2" xfId="7436"/>
    <cellStyle name="Normal 5 2 3 8" xfId="7437"/>
    <cellStyle name="Normal 5 2 4" xfId="7438"/>
    <cellStyle name="Normal 5 2 4 2" xfId="7439"/>
    <cellStyle name="Normal 5 2 4 2 2" xfId="7440"/>
    <cellStyle name="Normal 5 2 4 2 2 2" xfId="7441"/>
    <cellStyle name="Normal 5 2 4 2 2 2 2" xfId="7442"/>
    <cellStyle name="Normal 5 2 4 2 2 3" xfId="7443"/>
    <cellStyle name="Normal 5 2 4 2 2 3 2" xfId="7444"/>
    <cellStyle name="Normal 5 2 4 2 2 4" xfId="7445"/>
    <cellStyle name="Normal 5 2 4 2 3" xfId="7446"/>
    <cellStyle name="Normal 5 2 4 2 3 2" xfId="7447"/>
    <cellStyle name="Normal 5 2 4 2 3 2 2" xfId="7448"/>
    <cellStyle name="Normal 5 2 4 2 3 3" xfId="7449"/>
    <cellStyle name="Normal 5 2 4 2 4" xfId="7450"/>
    <cellStyle name="Normal 5 2 4 2 4 2" xfId="7451"/>
    <cellStyle name="Normal 5 2 4 2 5" xfId="7452"/>
    <cellStyle name="Normal 5 2 4 3" xfId="7453"/>
    <cellStyle name="Normal 5 2 4 3 2" xfId="7454"/>
    <cellStyle name="Normal 5 2 4 3 2 2" xfId="7455"/>
    <cellStyle name="Normal 5 2 4 3 2 2 2" xfId="7456"/>
    <cellStyle name="Normal 5 2 4 3 2 3" xfId="7457"/>
    <cellStyle name="Normal 5 2 4 3 3" xfId="7458"/>
    <cellStyle name="Normal 5 2 4 3 3 2" xfId="7459"/>
    <cellStyle name="Normal 5 2 4 3 4" xfId="7460"/>
    <cellStyle name="Normal 5 2 4 3 4 2" xfId="7461"/>
    <cellStyle name="Normal 5 2 4 3 5" xfId="7462"/>
    <cellStyle name="Normal 5 2 4 4" xfId="7463"/>
    <cellStyle name="Normal 5 2 4 4 2" xfId="7464"/>
    <cellStyle name="Normal 5 2 4 4 2 2" xfId="7465"/>
    <cellStyle name="Normal 5 2 4 4 3" xfId="7466"/>
    <cellStyle name="Normal 5 2 4 5" xfId="7467"/>
    <cellStyle name="Normal 5 2 4 5 2" xfId="7468"/>
    <cellStyle name="Normal 5 2 4 6" xfId="7469"/>
    <cellStyle name="Normal 5 2 5" xfId="7470"/>
    <cellStyle name="Normal 5 2 5 2" xfId="7471"/>
    <cellStyle name="Normal 5 2 5 2 2" xfId="7472"/>
    <cellStyle name="Normal 5 2 5 2 2 2" xfId="7473"/>
    <cellStyle name="Normal 5 2 5 2 3" xfId="7474"/>
    <cellStyle name="Normal 5 2 5 2 3 2" xfId="7475"/>
    <cellStyle name="Normal 5 2 5 2 4" xfId="7476"/>
    <cellStyle name="Normal 5 2 5 3" xfId="7477"/>
    <cellStyle name="Normal 5 2 5 3 2" xfId="7478"/>
    <cellStyle name="Normal 5 2 5 3 2 2" xfId="7479"/>
    <cellStyle name="Normal 5 2 5 3 3" xfId="7480"/>
    <cellStyle name="Normal 5 2 5 4" xfId="7481"/>
    <cellStyle name="Normal 5 2 5 4 2" xfId="7482"/>
    <cellStyle name="Normal 5 2 5 5" xfId="7483"/>
    <cellStyle name="Normal 5 2 6" xfId="7484"/>
    <cellStyle name="Normal 5 2 6 2" xfId="7485"/>
    <cellStyle name="Normal 5 2 6 2 2" xfId="7486"/>
    <cellStyle name="Normal 5 2 6 2 2 2" xfId="7487"/>
    <cellStyle name="Normal 5 2 6 2 3" xfId="7488"/>
    <cellStyle name="Normal 5 2 6 3" xfId="7489"/>
    <cellStyle name="Normal 5 2 6 3 2" xfId="7490"/>
    <cellStyle name="Normal 5 2 6 4" xfId="7491"/>
    <cellStyle name="Normal 5 2 7" xfId="7492"/>
    <cellStyle name="Normal 5 2 7 2" xfId="7493"/>
    <cellStyle name="Normal 5 2 7 2 2" xfId="7494"/>
    <cellStyle name="Normal 5 2 7 2 2 2" xfId="7495"/>
    <cellStyle name="Normal 5 2 7 2 3" xfId="7496"/>
    <cellStyle name="Normal 5 2 7 3" xfId="7497"/>
    <cellStyle name="Normal 5 2 7 3 2" xfId="7498"/>
    <cellStyle name="Normal 5 2 7 4" xfId="7499"/>
    <cellStyle name="Normal 5 2 8" xfId="7500"/>
    <cellStyle name="Normal 5 2 8 2" xfId="7501"/>
    <cellStyle name="Normal 5 2 8 2 2" xfId="7502"/>
    <cellStyle name="Normal 5 2 8 3" xfId="7503"/>
    <cellStyle name="Normal 5 2 9" xfId="7504"/>
    <cellStyle name="Normal 5 2 9 2" xfId="7505"/>
    <cellStyle name="Normal 5 3" xfId="7506"/>
    <cellStyle name="Normal 5 3 10" xfId="7507"/>
    <cellStyle name="Normal 5 3 10 2" xfId="7508"/>
    <cellStyle name="Normal 5 3 11" xfId="7509"/>
    <cellStyle name="Normal 5 3 12" xfId="9021"/>
    <cellStyle name="Normal 5 3 2" xfId="7510"/>
    <cellStyle name="Normal 5 3 2 10" xfId="7511"/>
    <cellStyle name="Normal 5 3 2 2" xfId="7512"/>
    <cellStyle name="Normal 5 3 2 2 2" xfId="7513"/>
    <cellStyle name="Normal 5 3 2 2 2 2" xfId="7514"/>
    <cellStyle name="Normal 5 3 2 2 2 2 2" xfId="7515"/>
    <cellStyle name="Normal 5 3 2 2 2 2 2 2" xfId="7516"/>
    <cellStyle name="Normal 5 3 2 2 2 2 2 2 2" xfId="7517"/>
    <cellStyle name="Normal 5 3 2 2 2 2 2 3" xfId="7518"/>
    <cellStyle name="Normal 5 3 2 2 2 2 2 3 2" xfId="7519"/>
    <cellStyle name="Normal 5 3 2 2 2 2 2 4" xfId="7520"/>
    <cellStyle name="Normal 5 3 2 2 2 2 3" xfId="7521"/>
    <cellStyle name="Normal 5 3 2 2 2 2 3 2" xfId="7522"/>
    <cellStyle name="Normal 5 3 2 2 2 2 3 2 2" xfId="7523"/>
    <cellStyle name="Normal 5 3 2 2 2 2 3 3" xfId="7524"/>
    <cellStyle name="Normal 5 3 2 2 2 2 4" xfId="7525"/>
    <cellStyle name="Normal 5 3 2 2 2 2 4 2" xfId="7526"/>
    <cellStyle name="Normal 5 3 2 2 2 2 5" xfId="7527"/>
    <cellStyle name="Normal 5 3 2 2 2 3" xfId="7528"/>
    <cellStyle name="Normal 5 3 2 2 2 3 2" xfId="7529"/>
    <cellStyle name="Normal 5 3 2 2 2 3 2 2" xfId="7530"/>
    <cellStyle name="Normal 5 3 2 2 2 3 2 2 2" xfId="7531"/>
    <cellStyle name="Normal 5 3 2 2 2 3 2 3" xfId="7532"/>
    <cellStyle name="Normal 5 3 2 2 2 3 3" xfId="7533"/>
    <cellStyle name="Normal 5 3 2 2 2 3 3 2" xfId="7534"/>
    <cellStyle name="Normal 5 3 2 2 2 3 4" xfId="7535"/>
    <cellStyle name="Normal 5 3 2 2 2 3 4 2" xfId="7536"/>
    <cellStyle name="Normal 5 3 2 2 2 3 5" xfId="7537"/>
    <cellStyle name="Normal 5 3 2 2 2 4" xfId="7538"/>
    <cellStyle name="Normal 5 3 2 2 2 4 2" xfId="7539"/>
    <cellStyle name="Normal 5 3 2 2 2 4 2 2" xfId="7540"/>
    <cellStyle name="Normal 5 3 2 2 2 4 3" xfId="7541"/>
    <cellStyle name="Normal 5 3 2 2 2 5" xfId="7542"/>
    <cellStyle name="Normal 5 3 2 2 2 5 2" xfId="7543"/>
    <cellStyle name="Normal 5 3 2 2 2 6" xfId="7544"/>
    <cellStyle name="Normal 5 3 2 2 3" xfId="7545"/>
    <cellStyle name="Normal 5 3 2 2 3 2" xfId="7546"/>
    <cellStyle name="Normal 5 3 2 2 3 2 2" xfId="7547"/>
    <cellStyle name="Normal 5 3 2 2 3 2 2 2" xfId="7548"/>
    <cellStyle name="Normal 5 3 2 2 3 2 3" xfId="7549"/>
    <cellStyle name="Normal 5 3 2 2 3 2 3 2" xfId="7550"/>
    <cellStyle name="Normal 5 3 2 2 3 2 4" xfId="7551"/>
    <cellStyle name="Normal 5 3 2 2 3 3" xfId="7552"/>
    <cellStyle name="Normal 5 3 2 2 3 3 2" xfId="7553"/>
    <cellStyle name="Normal 5 3 2 2 3 3 2 2" xfId="7554"/>
    <cellStyle name="Normal 5 3 2 2 3 3 3" xfId="7555"/>
    <cellStyle name="Normal 5 3 2 2 3 4" xfId="7556"/>
    <cellStyle name="Normal 5 3 2 2 3 4 2" xfId="7557"/>
    <cellStyle name="Normal 5 3 2 2 3 5" xfId="7558"/>
    <cellStyle name="Normal 5 3 2 2 4" xfId="7559"/>
    <cellStyle name="Normal 5 3 2 2 4 2" xfId="7560"/>
    <cellStyle name="Normal 5 3 2 2 4 2 2" xfId="7561"/>
    <cellStyle name="Normal 5 3 2 2 4 2 2 2" xfId="7562"/>
    <cellStyle name="Normal 5 3 2 2 4 2 3" xfId="7563"/>
    <cellStyle name="Normal 5 3 2 2 4 3" xfId="7564"/>
    <cellStyle name="Normal 5 3 2 2 4 3 2" xfId="7565"/>
    <cellStyle name="Normal 5 3 2 2 4 4" xfId="7566"/>
    <cellStyle name="Normal 5 3 2 2 5" xfId="7567"/>
    <cellStyle name="Normal 5 3 2 2 5 2" xfId="7568"/>
    <cellStyle name="Normal 5 3 2 2 5 2 2" xfId="7569"/>
    <cellStyle name="Normal 5 3 2 2 5 2 2 2" xfId="7570"/>
    <cellStyle name="Normal 5 3 2 2 5 2 3" xfId="7571"/>
    <cellStyle name="Normal 5 3 2 2 5 3" xfId="7572"/>
    <cellStyle name="Normal 5 3 2 2 5 3 2" xfId="7573"/>
    <cellStyle name="Normal 5 3 2 2 5 4" xfId="7574"/>
    <cellStyle name="Normal 5 3 2 2 5 4 2" xfId="7575"/>
    <cellStyle name="Normal 5 3 2 2 5 5" xfId="7576"/>
    <cellStyle name="Normal 5 3 2 2 6" xfId="7577"/>
    <cellStyle name="Normal 5 3 2 2 6 2" xfId="7578"/>
    <cellStyle name="Normal 5 3 2 2 6 2 2" xfId="7579"/>
    <cellStyle name="Normal 5 3 2 2 6 3" xfId="7580"/>
    <cellStyle name="Normal 5 3 2 2 7" xfId="7581"/>
    <cellStyle name="Normal 5 3 2 2 7 2" xfId="7582"/>
    <cellStyle name="Normal 5 3 2 2 8" xfId="7583"/>
    <cellStyle name="Normal 5 3 2 3" xfId="7584"/>
    <cellStyle name="Normal 5 3 2 3 2" xfId="7585"/>
    <cellStyle name="Normal 5 3 2 3 2 2" xfId="7586"/>
    <cellStyle name="Normal 5 3 2 3 2 2 2" xfId="7587"/>
    <cellStyle name="Normal 5 3 2 3 2 2 2 2" xfId="7588"/>
    <cellStyle name="Normal 5 3 2 3 2 2 3" xfId="7589"/>
    <cellStyle name="Normal 5 3 2 3 2 2 3 2" xfId="7590"/>
    <cellStyle name="Normal 5 3 2 3 2 2 4" xfId="7591"/>
    <cellStyle name="Normal 5 3 2 3 2 3" xfId="7592"/>
    <cellStyle name="Normal 5 3 2 3 2 3 2" xfId="7593"/>
    <cellStyle name="Normal 5 3 2 3 2 3 2 2" xfId="7594"/>
    <cellStyle name="Normal 5 3 2 3 2 3 3" xfId="7595"/>
    <cellStyle name="Normal 5 3 2 3 2 4" xfId="7596"/>
    <cellStyle name="Normal 5 3 2 3 2 4 2" xfId="7597"/>
    <cellStyle name="Normal 5 3 2 3 2 5" xfId="7598"/>
    <cellStyle name="Normal 5 3 2 3 3" xfId="7599"/>
    <cellStyle name="Normal 5 3 2 3 3 2" xfId="7600"/>
    <cellStyle name="Normal 5 3 2 3 3 2 2" xfId="7601"/>
    <cellStyle name="Normal 5 3 2 3 3 2 2 2" xfId="7602"/>
    <cellStyle name="Normal 5 3 2 3 3 2 3" xfId="7603"/>
    <cellStyle name="Normal 5 3 2 3 3 3" xfId="7604"/>
    <cellStyle name="Normal 5 3 2 3 3 3 2" xfId="7605"/>
    <cellStyle name="Normal 5 3 2 3 3 4" xfId="7606"/>
    <cellStyle name="Normal 5 3 2 3 3 4 2" xfId="7607"/>
    <cellStyle name="Normal 5 3 2 3 3 5" xfId="7608"/>
    <cellStyle name="Normal 5 3 2 3 4" xfId="7609"/>
    <cellStyle name="Normal 5 3 2 3 4 2" xfId="7610"/>
    <cellStyle name="Normal 5 3 2 3 4 2 2" xfId="7611"/>
    <cellStyle name="Normal 5 3 2 3 4 3" xfId="7612"/>
    <cellStyle name="Normal 5 3 2 3 5" xfId="7613"/>
    <cellStyle name="Normal 5 3 2 3 5 2" xfId="7614"/>
    <cellStyle name="Normal 5 3 2 3 6" xfId="7615"/>
    <cellStyle name="Normal 5 3 2 4" xfId="7616"/>
    <cellStyle name="Normal 5 3 2 4 2" xfId="7617"/>
    <cellStyle name="Normal 5 3 2 4 2 2" xfId="7618"/>
    <cellStyle name="Normal 5 3 2 4 2 2 2" xfId="7619"/>
    <cellStyle name="Normal 5 3 2 4 2 3" xfId="7620"/>
    <cellStyle name="Normal 5 3 2 4 2 3 2" xfId="7621"/>
    <cellStyle name="Normal 5 3 2 4 2 4" xfId="7622"/>
    <cellStyle name="Normal 5 3 2 4 3" xfId="7623"/>
    <cellStyle name="Normal 5 3 2 4 3 2" xfId="7624"/>
    <cellStyle name="Normal 5 3 2 4 3 2 2" xfId="7625"/>
    <cellStyle name="Normal 5 3 2 4 3 3" xfId="7626"/>
    <cellStyle name="Normal 5 3 2 4 4" xfId="7627"/>
    <cellStyle name="Normal 5 3 2 4 4 2" xfId="7628"/>
    <cellStyle name="Normal 5 3 2 4 5" xfId="7629"/>
    <cellStyle name="Normal 5 3 2 5" xfId="7630"/>
    <cellStyle name="Normal 5 3 2 5 2" xfId="7631"/>
    <cellStyle name="Normal 5 3 2 5 2 2" xfId="7632"/>
    <cellStyle name="Normal 5 3 2 5 2 2 2" xfId="7633"/>
    <cellStyle name="Normal 5 3 2 5 2 3" xfId="7634"/>
    <cellStyle name="Normal 5 3 2 5 3" xfId="7635"/>
    <cellStyle name="Normal 5 3 2 5 3 2" xfId="7636"/>
    <cellStyle name="Normal 5 3 2 5 4" xfId="7637"/>
    <cellStyle name="Normal 5 3 2 6" xfId="7638"/>
    <cellStyle name="Normal 5 3 2 6 2" xfId="7639"/>
    <cellStyle name="Normal 5 3 2 6 2 2" xfId="7640"/>
    <cellStyle name="Normal 5 3 2 6 2 2 2" xfId="7641"/>
    <cellStyle name="Normal 5 3 2 6 2 3" xfId="7642"/>
    <cellStyle name="Normal 5 3 2 6 3" xfId="7643"/>
    <cellStyle name="Normal 5 3 2 6 3 2" xfId="7644"/>
    <cellStyle name="Normal 5 3 2 6 4" xfId="7645"/>
    <cellStyle name="Normal 5 3 2 7" xfId="7646"/>
    <cellStyle name="Normal 5 3 2 7 2" xfId="7647"/>
    <cellStyle name="Normal 5 3 2 7 2 2" xfId="7648"/>
    <cellStyle name="Normal 5 3 2 7 3" xfId="7649"/>
    <cellStyle name="Normal 5 3 2 8" xfId="7650"/>
    <cellStyle name="Normal 5 3 2 8 2" xfId="7651"/>
    <cellStyle name="Normal 5 3 2 9" xfId="7652"/>
    <cellStyle name="Normal 5 3 2 9 2" xfId="7653"/>
    <cellStyle name="Normal 5 3 3" xfId="7654"/>
    <cellStyle name="Normal 5 3 3 2" xfId="7655"/>
    <cellStyle name="Normal 5 3 3 2 2" xfId="7656"/>
    <cellStyle name="Normal 5 3 3 2 2 2" xfId="7657"/>
    <cellStyle name="Normal 5 3 3 2 2 2 2" xfId="7658"/>
    <cellStyle name="Normal 5 3 3 2 2 2 2 2" xfId="7659"/>
    <cellStyle name="Normal 5 3 3 2 2 2 3" xfId="7660"/>
    <cellStyle name="Normal 5 3 3 2 2 2 3 2" xfId="7661"/>
    <cellStyle name="Normal 5 3 3 2 2 2 4" xfId="7662"/>
    <cellStyle name="Normal 5 3 3 2 2 3" xfId="7663"/>
    <cellStyle name="Normal 5 3 3 2 2 3 2" xfId="7664"/>
    <cellStyle name="Normal 5 3 3 2 2 3 2 2" xfId="7665"/>
    <cellStyle name="Normal 5 3 3 2 2 3 3" xfId="7666"/>
    <cellStyle name="Normal 5 3 3 2 2 4" xfId="7667"/>
    <cellStyle name="Normal 5 3 3 2 2 4 2" xfId="7668"/>
    <cellStyle name="Normal 5 3 3 2 2 5" xfId="7669"/>
    <cellStyle name="Normal 5 3 3 2 3" xfId="7670"/>
    <cellStyle name="Normal 5 3 3 2 3 2" xfId="7671"/>
    <cellStyle name="Normal 5 3 3 2 3 2 2" xfId="7672"/>
    <cellStyle name="Normal 5 3 3 2 3 2 2 2" xfId="7673"/>
    <cellStyle name="Normal 5 3 3 2 3 2 3" xfId="7674"/>
    <cellStyle name="Normal 5 3 3 2 3 3" xfId="7675"/>
    <cellStyle name="Normal 5 3 3 2 3 3 2" xfId="7676"/>
    <cellStyle name="Normal 5 3 3 2 3 4" xfId="7677"/>
    <cellStyle name="Normal 5 3 3 2 3 4 2" xfId="7678"/>
    <cellStyle name="Normal 5 3 3 2 3 5" xfId="7679"/>
    <cellStyle name="Normal 5 3 3 2 4" xfId="7680"/>
    <cellStyle name="Normal 5 3 3 2 4 2" xfId="7681"/>
    <cellStyle name="Normal 5 3 3 2 4 2 2" xfId="7682"/>
    <cellStyle name="Normal 5 3 3 2 4 3" xfId="7683"/>
    <cellStyle name="Normal 5 3 3 2 5" xfId="7684"/>
    <cellStyle name="Normal 5 3 3 2 5 2" xfId="7685"/>
    <cellStyle name="Normal 5 3 3 2 6" xfId="7686"/>
    <cellStyle name="Normal 5 3 3 3" xfId="7687"/>
    <cellStyle name="Normal 5 3 3 3 2" xfId="7688"/>
    <cellStyle name="Normal 5 3 3 3 2 2" xfId="7689"/>
    <cellStyle name="Normal 5 3 3 3 2 2 2" xfId="7690"/>
    <cellStyle name="Normal 5 3 3 3 2 3" xfId="7691"/>
    <cellStyle name="Normal 5 3 3 3 2 3 2" xfId="7692"/>
    <cellStyle name="Normal 5 3 3 3 2 4" xfId="7693"/>
    <cellStyle name="Normal 5 3 3 3 3" xfId="7694"/>
    <cellStyle name="Normal 5 3 3 3 3 2" xfId="7695"/>
    <cellStyle name="Normal 5 3 3 3 3 2 2" xfId="7696"/>
    <cellStyle name="Normal 5 3 3 3 3 3" xfId="7697"/>
    <cellStyle name="Normal 5 3 3 3 4" xfId="7698"/>
    <cellStyle name="Normal 5 3 3 3 4 2" xfId="7699"/>
    <cellStyle name="Normal 5 3 3 3 5" xfId="7700"/>
    <cellStyle name="Normal 5 3 3 4" xfId="7701"/>
    <cellStyle name="Normal 5 3 3 4 2" xfId="7702"/>
    <cellStyle name="Normal 5 3 3 4 2 2" xfId="7703"/>
    <cellStyle name="Normal 5 3 3 4 2 2 2" xfId="7704"/>
    <cellStyle name="Normal 5 3 3 4 2 3" xfId="7705"/>
    <cellStyle name="Normal 5 3 3 4 3" xfId="7706"/>
    <cellStyle name="Normal 5 3 3 4 3 2" xfId="7707"/>
    <cellStyle name="Normal 5 3 3 4 4" xfId="7708"/>
    <cellStyle name="Normal 5 3 3 5" xfId="7709"/>
    <cellStyle name="Normal 5 3 3 5 2" xfId="7710"/>
    <cellStyle name="Normal 5 3 3 5 2 2" xfId="7711"/>
    <cellStyle name="Normal 5 3 3 5 2 2 2" xfId="7712"/>
    <cellStyle name="Normal 5 3 3 5 2 3" xfId="7713"/>
    <cellStyle name="Normal 5 3 3 5 3" xfId="7714"/>
    <cellStyle name="Normal 5 3 3 5 3 2" xfId="7715"/>
    <cellStyle name="Normal 5 3 3 5 4" xfId="7716"/>
    <cellStyle name="Normal 5 3 3 5 4 2" xfId="7717"/>
    <cellStyle name="Normal 5 3 3 5 5" xfId="7718"/>
    <cellStyle name="Normal 5 3 3 6" xfId="7719"/>
    <cellStyle name="Normal 5 3 3 6 2" xfId="7720"/>
    <cellStyle name="Normal 5 3 3 6 2 2" xfId="7721"/>
    <cellStyle name="Normal 5 3 3 6 3" xfId="7722"/>
    <cellStyle name="Normal 5 3 3 7" xfId="7723"/>
    <cellStyle name="Normal 5 3 3 7 2" xfId="7724"/>
    <cellStyle name="Normal 5 3 3 8" xfId="7725"/>
    <cellStyle name="Normal 5 3 4" xfId="7726"/>
    <cellStyle name="Normal 5 3 4 2" xfId="7727"/>
    <cellStyle name="Normal 5 3 4 2 2" xfId="7728"/>
    <cellStyle name="Normal 5 3 4 2 2 2" xfId="7729"/>
    <cellStyle name="Normal 5 3 4 2 2 2 2" xfId="7730"/>
    <cellStyle name="Normal 5 3 4 2 2 3" xfId="7731"/>
    <cellStyle name="Normal 5 3 4 2 2 3 2" xfId="7732"/>
    <cellStyle name="Normal 5 3 4 2 2 4" xfId="7733"/>
    <cellStyle name="Normal 5 3 4 2 3" xfId="7734"/>
    <cellStyle name="Normal 5 3 4 2 3 2" xfId="7735"/>
    <cellStyle name="Normal 5 3 4 2 3 2 2" xfId="7736"/>
    <cellStyle name="Normal 5 3 4 2 3 3" xfId="7737"/>
    <cellStyle name="Normal 5 3 4 2 4" xfId="7738"/>
    <cellStyle name="Normal 5 3 4 2 4 2" xfId="7739"/>
    <cellStyle name="Normal 5 3 4 2 5" xfId="7740"/>
    <cellStyle name="Normal 5 3 4 3" xfId="7741"/>
    <cellStyle name="Normal 5 3 4 3 2" xfId="7742"/>
    <cellStyle name="Normal 5 3 4 3 2 2" xfId="7743"/>
    <cellStyle name="Normal 5 3 4 3 2 2 2" xfId="7744"/>
    <cellStyle name="Normal 5 3 4 3 2 3" xfId="7745"/>
    <cellStyle name="Normal 5 3 4 3 3" xfId="7746"/>
    <cellStyle name="Normal 5 3 4 3 3 2" xfId="7747"/>
    <cellStyle name="Normal 5 3 4 3 4" xfId="7748"/>
    <cellStyle name="Normal 5 3 4 3 4 2" xfId="7749"/>
    <cellStyle name="Normal 5 3 4 3 5" xfId="7750"/>
    <cellStyle name="Normal 5 3 4 4" xfId="7751"/>
    <cellStyle name="Normal 5 3 4 4 2" xfId="7752"/>
    <cellStyle name="Normal 5 3 4 4 2 2" xfId="7753"/>
    <cellStyle name="Normal 5 3 4 4 3" xfId="7754"/>
    <cellStyle name="Normal 5 3 4 5" xfId="7755"/>
    <cellStyle name="Normal 5 3 4 5 2" xfId="7756"/>
    <cellStyle name="Normal 5 3 4 6" xfId="7757"/>
    <cellStyle name="Normal 5 3 5" xfId="7758"/>
    <cellStyle name="Normal 5 3 5 2" xfId="7759"/>
    <cellStyle name="Normal 5 3 5 2 2" xfId="7760"/>
    <cellStyle name="Normal 5 3 5 2 2 2" xfId="7761"/>
    <cellStyle name="Normal 5 3 5 2 3" xfId="7762"/>
    <cellStyle name="Normal 5 3 5 2 3 2" xfId="7763"/>
    <cellStyle name="Normal 5 3 5 2 4" xfId="7764"/>
    <cellStyle name="Normal 5 3 5 3" xfId="7765"/>
    <cellStyle name="Normal 5 3 5 3 2" xfId="7766"/>
    <cellStyle name="Normal 5 3 5 3 2 2" xfId="7767"/>
    <cellStyle name="Normal 5 3 5 3 3" xfId="7768"/>
    <cellStyle name="Normal 5 3 5 4" xfId="7769"/>
    <cellStyle name="Normal 5 3 5 4 2" xfId="7770"/>
    <cellStyle name="Normal 5 3 5 5" xfId="7771"/>
    <cellStyle name="Normal 5 3 6" xfId="7772"/>
    <cellStyle name="Normal 5 3 6 2" xfId="7773"/>
    <cellStyle name="Normal 5 3 6 2 2" xfId="7774"/>
    <cellStyle name="Normal 5 3 6 2 2 2" xfId="7775"/>
    <cellStyle name="Normal 5 3 6 2 3" xfId="7776"/>
    <cellStyle name="Normal 5 3 6 3" xfId="7777"/>
    <cellStyle name="Normal 5 3 6 3 2" xfId="7778"/>
    <cellStyle name="Normal 5 3 6 4" xfId="7779"/>
    <cellStyle name="Normal 5 3 7" xfId="7780"/>
    <cellStyle name="Normal 5 3 7 2" xfId="7781"/>
    <cellStyle name="Normal 5 3 7 2 2" xfId="7782"/>
    <cellStyle name="Normal 5 3 7 2 2 2" xfId="7783"/>
    <cellStyle name="Normal 5 3 7 2 3" xfId="7784"/>
    <cellStyle name="Normal 5 3 7 3" xfId="7785"/>
    <cellStyle name="Normal 5 3 7 3 2" xfId="7786"/>
    <cellStyle name="Normal 5 3 7 4" xfId="7787"/>
    <cellStyle name="Normal 5 3 8" xfId="7788"/>
    <cellStyle name="Normal 5 3 8 2" xfId="7789"/>
    <cellStyle name="Normal 5 3 8 2 2" xfId="7790"/>
    <cellStyle name="Normal 5 3 8 3" xfId="7791"/>
    <cellStyle name="Normal 5 3 9" xfId="7792"/>
    <cellStyle name="Normal 5 3 9 2" xfId="7793"/>
    <cellStyle name="Normal 5 4" xfId="7794"/>
    <cellStyle name="Normal 5 4 10" xfId="7795"/>
    <cellStyle name="Normal 5 4 2" xfId="7796"/>
    <cellStyle name="Normal 5 4 2 2" xfId="7797"/>
    <cellStyle name="Normal 5 4 2 2 2" xfId="7798"/>
    <cellStyle name="Normal 5 4 2 2 2 2" xfId="7799"/>
    <cellStyle name="Normal 5 4 2 2 2 2 2" xfId="7800"/>
    <cellStyle name="Normal 5 4 2 2 2 2 2 2" xfId="7801"/>
    <cellStyle name="Normal 5 4 2 2 2 2 3" xfId="7802"/>
    <cellStyle name="Normal 5 4 2 2 2 2 3 2" xfId="7803"/>
    <cellStyle name="Normal 5 4 2 2 2 2 4" xfId="7804"/>
    <cellStyle name="Normal 5 4 2 2 2 3" xfId="7805"/>
    <cellStyle name="Normal 5 4 2 2 2 3 2" xfId="7806"/>
    <cellStyle name="Normal 5 4 2 2 2 3 2 2" xfId="7807"/>
    <cellStyle name="Normal 5 4 2 2 2 3 3" xfId="7808"/>
    <cellStyle name="Normal 5 4 2 2 2 4" xfId="7809"/>
    <cellStyle name="Normal 5 4 2 2 2 4 2" xfId="7810"/>
    <cellStyle name="Normal 5 4 2 2 2 5" xfId="7811"/>
    <cellStyle name="Normal 5 4 2 2 3" xfId="7812"/>
    <cellStyle name="Normal 5 4 2 2 3 2" xfId="7813"/>
    <cellStyle name="Normal 5 4 2 2 3 2 2" xfId="7814"/>
    <cellStyle name="Normal 5 4 2 2 3 2 2 2" xfId="7815"/>
    <cellStyle name="Normal 5 4 2 2 3 2 3" xfId="7816"/>
    <cellStyle name="Normal 5 4 2 2 3 3" xfId="7817"/>
    <cellStyle name="Normal 5 4 2 2 3 3 2" xfId="7818"/>
    <cellStyle name="Normal 5 4 2 2 3 4" xfId="7819"/>
    <cellStyle name="Normal 5 4 2 2 3 4 2" xfId="7820"/>
    <cellStyle name="Normal 5 4 2 2 3 5" xfId="7821"/>
    <cellStyle name="Normal 5 4 2 2 4" xfId="7822"/>
    <cellStyle name="Normal 5 4 2 2 4 2" xfId="7823"/>
    <cellStyle name="Normal 5 4 2 2 4 2 2" xfId="7824"/>
    <cellStyle name="Normal 5 4 2 2 4 3" xfId="7825"/>
    <cellStyle name="Normal 5 4 2 2 5" xfId="7826"/>
    <cellStyle name="Normal 5 4 2 2 5 2" xfId="7827"/>
    <cellStyle name="Normal 5 4 2 2 6" xfId="7828"/>
    <cellStyle name="Normal 5 4 2 3" xfId="7829"/>
    <cellStyle name="Normal 5 4 2 3 2" xfId="7830"/>
    <cellStyle name="Normal 5 4 2 3 2 2" xfId="7831"/>
    <cellStyle name="Normal 5 4 2 3 2 2 2" xfId="7832"/>
    <cellStyle name="Normal 5 4 2 3 2 3" xfId="7833"/>
    <cellStyle name="Normal 5 4 2 3 2 3 2" xfId="7834"/>
    <cellStyle name="Normal 5 4 2 3 2 4" xfId="7835"/>
    <cellStyle name="Normal 5 4 2 3 3" xfId="7836"/>
    <cellStyle name="Normal 5 4 2 3 3 2" xfId="7837"/>
    <cellStyle name="Normal 5 4 2 3 3 2 2" xfId="7838"/>
    <cellStyle name="Normal 5 4 2 3 3 3" xfId="7839"/>
    <cellStyle name="Normal 5 4 2 3 4" xfId="7840"/>
    <cellStyle name="Normal 5 4 2 3 4 2" xfId="7841"/>
    <cellStyle name="Normal 5 4 2 3 5" xfId="7842"/>
    <cellStyle name="Normal 5 4 2 4" xfId="7843"/>
    <cellStyle name="Normal 5 4 2 4 2" xfId="7844"/>
    <cellStyle name="Normal 5 4 2 4 2 2" xfId="7845"/>
    <cellStyle name="Normal 5 4 2 4 2 2 2" xfId="7846"/>
    <cellStyle name="Normal 5 4 2 4 2 3" xfId="7847"/>
    <cellStyle name="Normal 5 4 2 4 3" xfId="7848"/>
    <cellStyle name="Normal 5 4 2 4 3 2" xfId="7849"/>
    <cellStyle name="Normal 5 4 2 4 4" xfId="7850"/>
    <cellStyle name="Normal 5 4 2 5" xfId="7851"/>
    <cellStyle name="Normal 5 4 2 5 2" xfId="7852"/>
    <cellStyle name="Normal 5 4 2 5 2 2" xfId="7853"/>
    <cellStyle name="Normal 5 4 2 5 2 2 2" xfId="7854"/>
    <cellStyle name="Normal 5 4 2 5 2 3" xfId="7855"/>
    <cellStyle name="Normal 5 4 2 5 3" xfId="7856"/>
    <cellStyle name="Normal 5 4 2 5 3 2" xfId="7857"/>
    <cellStyle name="Normal 5 4 2 5 4" xfId="7858"/>
    <cellStyle name="Normal 5 4 2 5 4 2" xfId="7859"/>
    <cellStyle name="Normal 5 4 2 5 5" xfId="7860"/>
    <cellStyle name="Normal 5 4 2 6" xfId="7861"/>
    <cellStyle name="Normal 5 4 2 6 2" xfId="7862"/>
    <cellStyle name="Normal 5 4 2 6 2 2" xfId="7863"/>
    <cellStyle name="Normal 5 4 2 6 3" xfId="7864"/>
    <cellStyle name="Normal 5 4 2 7" xfId="7865"/>
    <cellStyle name="Normal 5 4 2 7 2" xfId="7866"/>
    <cellStyle name="Normal 5 4 2 8" xfId="7867"/>
    <cellStyle name="Normal 5 4 3" xfId="7868"/>
    <cellStyle name="Normal 5 4 3 2" xfId="7869"/>
    <cellStyle name="Normal 5 4 3 2 2" xfId="7870"/>
    <cellStyle name="Normal 5 4 3 2 2 2" xfId="7871"/>
    <cellStyle name="Normal 5 4 3 2 2 2 2" xfId="7872"/>
    <cellStyle name="Normal 5 4 3 2 2 3" xfId="7873"/>
    <cellStyle name="Normal 5 4 3 2 2 3 2" xfId="7874"/>
    <cellStyle name="Normal 5 4 3 2 2 4" xfId="7875"/>
    <cellStyle name="Normal 5 4 3 2 3" xfId="7876"/>
    <cellStyle name="Normal 5 4 3 2 3 2" xfId="7877"/>
    <cellStyle name="Normal 5 4 3 2 3 2 2" xfId="7878"/>
    <cellStyle name="Normal 5 4 3 2 3 3" xfId="7879"/>
    <cellStyle name="Normal 5 4 3 2 4" xfId="7880"/>
    <cellStyle name="Normal 5 4 3 2 4 2" xfId="7881"/>
    <cellStyle name="Normal 5 4 3 2 5" xfId="7882"/>
    <cellStyle name="Normal 5 4 3 3" xfId="7883"/>
    <cellStyle name="Normal 5 4 3 3 2" xfId="7884"/>
    <cellStyle name="Normal 5 4 3 3 2 2" xfId="7885"/>
    <cellStyle name="Normal 5 4 3 3 2 2 2" xfId="7886"/>
    <cellStyle name="Normal 5 4 3 3 2 3" xfId="7887"/>
    <cellStyle name="Normal 5 4 3 3 3" xfId="7888"/>
    <cellStyle name="Normal 5 4 3 3 3 2" xfId="7889"/>
    <cellStyle name="Normal 5 4 3 3 4" xfId="7890"/>
    <cellStyle name="Normal 5 4 3 3 4 2" xfId="7891"/>
    <cellStyle name="Normal 5 4 3 3 5" xfId="7892"/>
    <cellStyle name="Normal 5 4 3 4" xfId="7893"/>
    <cellStyle name="Normal 5 4 3 4 2" xfId="7894"/>
    <cellStyle name="Normal 5 4 3 4 2 2" xfId="7895"/>
    <cellStyle name="Normal 5 4 3 4 3" xfId="7896"/>
    <cellStyle name="Normal 5 4 3 5" xfId="7897"/>
    <cellStyle name="Normal 5 4 3 5 2" xfId="7898"/>
    <cellStyle name="Normal 5 4 3 6" xfId="7899"/>
    <cellStyle name="Normal 5 4 4" xfId="7900"/>
    <cellStyle name="Normal 5 4 4 2" xfId="7901"/>
    <cellStyle name="Normal 5 4 4 2 2" xfId="7902"/>
    <cellStyle name="Normal 5 4 4 2 2 2" xfId="7903"/>
    <cellStyle name="Normal 5 4 4 2 3" xfId="7904"/>
    <cellStyle name="Normal 5 4 4 2 3 2" xfId="7905"/>
    <cellStyle name="Normal 5 4 4 2 4" xfId="7906"/>
    <cellStyle name="Normal 5 4 4 3" xfId="7907"/>
    <cellStyle name="Normal 5 4 4 3 2" xfId="7908"/>
    <cellStyle name="Normal 5 4 4 3 2 2" xfId="7909"/>
    <cellStyle name="Normal 5 4 4 3 3" xfId="7910"/>
    <cellStyle name="Normal 5 4 4 4" xfId="7911"/>
    <cellStyle name="Normal 5 4 4 4 2" xfId="7912"/>
    <cellStyle name="Normal 5 4 4 5" xfId="7913"/>
    <cellStyle name="Normal 5 4 5" xfId="7914"/>
    <cellStyle name="Normal 5 4 5 2" xfId="7915"/>
    <cellStyle name="Normal 5 4 5 2 2" xfId="7916"/>
    <cellStyle name="Normal 5 4 5 2 2 2" xfId="7917"/>
    <cellStyle name="Normal 5 4 5 2 3" xfId="7918"/>
    <cellStyle name="Normal 5 4 5 3" xfId="7919"/>
    <cellStyle name="Normal 5 4 5 3 2" xfId="7920"/>
    <cellStyle name="Normal 5 4 5 4" xfId="7921"/>
    <cellStyle name="Normal 5 4 6" xfId="7922"/>
    <cellStyle name="Normal 5 4 6 2" xfId="7923"/>
    <cellStyle name="Normal 5 4 6 2 2" xfId="7924"/>
    <cellStyle name="Normal 5 4 6 2 2 2" xfId="7925"/>
    <cellStyle name="Normal 5 4 6 2 3" xfId="7926"/>
    <cellStyle name="Normal 5 4 6 3" xfId="7927"/>
    <cellStyle name="Normal 5 4 6 3 2" xfId="7928"/>
    <cellStyle name="Normal 5 4 6 4" xfId="7929"/>
    <cellStyle name="Normal 5 4 7" xfId="7930"/>
    <cellStyle name="Normal 5 4 7 2" xfId="7931"/>
    <cellStyle name="Normal 5 4 7 2 2" xfId="7932"/>
    <cellStyle name="Normal 5 4 7 3" xfId="7933"/>
    <cellStyle name="Normal 5 4 8" xfId="7934"/>
    <cellStyle name="Normal 5 4 8 2" xfId="7935"/>
    <cellStyle name="Normal 5 4 9" xfId="7936"/>
    <cellStyle name="Normal 5 4 9 2" xfId="7937"/>
    <cellStyle name="Normal 5 5" xfId="7938"/>
    <cellStyle name="Normal 5 5 2" xfId="7939"/>
    <cellStyle name="Normal 5 5 2 2" xfId="7940"/>
    <cellStyle name="Normal 5 5 2 2 2" xfId="7941"/>
    <cellStyle name="Normal 5 5 2 2 2 2" xfId="7942"/>
    <cellStyle name="Normal 5 5 2 2 2 2 2" xfId="7943"/>
    <cellStyle name="Normal 5 5 2 2 2 3" xfId="7944"/>
    <cellStyle name="Normal 5 5 2 2 2 3 2" xfId="7945"/>
    <cellStyle name="Normal 5 5 2 2 2 4" xfId="7946"/>
    <cellStyle name="Normal 5 5 2 2 3" xfId="7947"/>
    <cellStyle name="Normal 5 5 2 2 3 2" xfId="7948"/>
    <cellStyle name="Normal 5 5 2 2 3 2 2" xfId="7949"/>
    <cellStyle name="Normal 5 5 2 2 3 3" xfId="7950"/>
    <cellStyle name="Normal 5 5 2 2 4" xfId="7951"/>
    <cellStyle name="Normal 5 5 2 2 4 2" xfId="7952"/>
    <cellStyle name="Normal 5 5 2 2 5" xfId="7953"/>
    <cellStyle name="Normal 5 5 2 3" xfId="7954"/>
    <cellStyle name="Normal 5 5 2 3 2" xfId="7955"/>
    <cellStyle name="Normal 5 5 2 3 2 2" xfId="7956"/>
    <cellStyle name="Normal 5 5 2 3 2 2 2" xfId="7957"/>
    <cellStyle name="Normal 5 5 2 3 2 3" xfId="7958"/>
    <cellStyle name="Normal 5 5 2 3 3" xfId="7959"/>
    <cellStyle name="Normal 5 5 2 3 3 2" xfId="7960"/>
    <cellStyle name="Normal 5 5 2 3 4" xfId="7961"/>
    <cellStyle name="Normal 5 5 2 3 4 2" xfId="7962"/>
    <cellStyle name="Normal 5 5 2 3 5" xfId="7963"/>
    <cellStyle name="Normal 5 5 2 4" xfId="7964"/>
    <cellStyle name="Normal 5 5 2 4 2" xfId="7965"/>
    <cellStyle name="Normal 5 5 2 4 2 2" xfId="7966"/>
    <cellStyle name="Normal 5 5 2 4 3" xfId="7967"/>
    <cellStyle name="Normal 5 5 2 5" xfId="7968"/>
    <cellStyle name="Normal 5 5 2 5 2" xfId="7969"/>
    <cellStyle name="Normal 5 5 2 6" xfId="7970"/>
    <cellStyle name="Normal 5 5 3" xfId="7971"/>
    <cellStyle name="Normal 5 5 3 2" xfId="7972"/>
    <cellStyle name="Normal 5 5 3 2 2" xfId="7973"/>
    <cellStyle name="Normal 5 5 3 2 2 2" xfId="7974"/>
    <cellStyle name="Normal 5 5 3 2 3" xfId="7975"/>
    <cellStyle name="Normal 5 5 3 2 3 2" xfId="7976"/>
    <cellStyle name="Normal 5 5 3 2 4" xfId="7977"/>
    <cellStyle name="Normal 5 5 3 3" xfId="7978"/>
    <cellStyle name="Normal 5 5 3 3 2" xfId="7979"/>
    <cellStyle name="Normal 5 5 3 3 2 2" xfId="7980"/>
    <cellStyle name="Normal 5 5 3 3 3" xfId="7981"/>
    <cellStyle name="Normal 5 5 3 4" xfId="7982"/>
    <cellStyle name="Normal 5 5 3 4 2" xfId="7983"/>
    <cellStyle name="Normal 5 5 3 5" xfId="7984"/>
    <cellStyle name="Normal 5 5 4" xfId="7985"/>
    <cellStyle name="Normal 5 5 4 2" xfId="7986"/>
    <cellStyle name="Normal 5 5 4 2 2" xfId="7987"/>
    <cellStyle name="Normal 5 5 4 2 2 2" xfId="7988"/>
    <cellStyle name="Normal 5 5 4 2 3" xfId="7989"/>
    <cellStyle name="Normal 5 5 4 3" xfId="7990"/>
    <cellStyle name="Normal 5 5 4 3 2" xfId="7991"/>
    <cellStyle name="Normal 5 5 4 4" xfId="7992"/>
    <cellStyle name="Normal 5 5 5" xfId="7993"/>
    <cellStyle name="Normal 5 5 5 2" xfId="7994"/>
    <cellStyle name="Normal 5 5 5 2 2" xfId="7995"/>
    <cellStyle name="Normal 5 5 5 2 2 2" xfId="7996"/>
    <cellStyle name="Normal 5 5 5 2 3" xfId="7997"/>
    <cellStyle name="Normal 5 5 5 3" xfId="7998"/>
    <cellStyle name="Normal 5 5 5 3 2" xfId="7999"/>
    <cellStyle name="Normal 5 5 5 4" xfId="8000"/>
    <cellStyle name="Normal 5 5 5 4 2" xfId="8001"/>
    <cellStyle name="Normal 5 5 5 5" xfId="8002"/>
    <cellStyle name="Normal 5 5 6" xfId="8003"/>
    <cellStyle name="Normal 5 5 6 2" xfId="8004"/>
    <cellStyle name="Normal 5 5 6 2 2" xfId="8005"/>
    <cellStyle name="Normal 5 5 6 3" xfId="8006"/>
    <cellStyle name="Normal 5 5 7" xfId="8007"/>
    <cellStyle name="Normal 5 5 7 2" xfId="8008"/>
    <cellStyle name="Normal 5 5 8" xfId="8009"/>
    <cellStyle name="Normal 5 6" xfId="8010"/>
    <cellStyle name="Normal 5 6 2" xfId="8011"/>
    <cellStyle name="Normal 5 6 2 2" xfId="8012"/>
    <cellStyle name="Normal 5 6 2 2 2" xfId="8013"/>
    <cellStyle name="Normal 5 6 2 2 2 2" xfId="8014"/>
    <cellStyle name="Normal 5 6 2 2 3" xfId="8015"/>
    <cellStyle name="Normal 5 6 2 2 3 2" xfId="8016"/>
    <cellStyle name="Normal 5 6 2 2 4" xfId="8017"/>
    <cellStyle name="Normal 5 6 2 3" xfId="8018"/>
    <cellStyle name="Normal 5 6 2 3 2" xfId="8019"/>
    <cellStyle name="Normal 5 6 2 3 2 2" xfId="8020"/>
    <cellStyle name="Normal 5 6 2 3 3" xfId="8021"/>
    <cellStyle name="Normal 5 6 2 4" xfId="8022"/>
    <cellStyle name="Normal 5 6 2 4 2" xfId="8023"/>
    <cellStyle name="Normal 5 6 2 5" xfId="8024"/>
    <cellStyle name="Normal 5 6 3" xfId="8025"/>
    <cellStyle name="Normal 5 6 3 2" xfId="8026"/>
    <cellStyle name="Normal 5 6 3 2 2" xfId="8027"/>
    <cellStyle name="Normal 5 6 3 2 2 2" xfId="8028"/>
    <cellStyle name="Normal 5 6 3 2 3" xfId="8029"/>
    <cellStyle name="Normal 5 6 3 3" xfId="8030"/>
    <cellStyle name="Normal 5 6 3 3 2" xfId="8031"/>
    <cellStyle name="Normal 5 6 3 4" xfId="8032"/>
    <cellStyle name="Normal 5 6 3 4 2" xfId="8033"/>
    <cellStyle name="Normal 5 6 3 5" xfId="8034"/>
    <cellStyle name="Normal 5 6 4" xfId="8035"/>
    <cellStyle name="Normal 5 6 4 2" xfId="8036"/>
    <cellStyle name="Normal 5 6 4 2 2" xfId="8037"/>
    <cellStyle name="Normal 5 6 4 3" xfId="8038"/>
    <cellStyle name="Normal 5 6 5" xfId="8039"/>
    <cellStyle name="Normal 5 6 5 2" xfId="8040"/>
    <cellStyle name="Normal 5 6 6" xfId="8041"/>
    <cellStyle name="Normal 5 7" xfId="8042"/>
    <cellStyle name="Normal 5 7 2" xfId="8043"/>
    <cellStyle name="Normal 5 7 2 2" xfId="8044"/>
    <cellStyle name="Normal 5 7 2 2 2" xfId="8045"/>
    <cellStyle name="Normal 5 7 2 3" xfId="8046"/>
    <cellStyle name="Normal 5 7 2 3 2" xfId="8047"/>
    <cellStyle name="Normal 5 7 2 4" xfId="8048"/>
    <cellStyle name="Normal 5 7 3" xfId="8049"/>
    <cellStyle name="Normal 5 7 3 2" xfId="8050"/>
    <cellStyle name="Normal 5 7 3 2 2" xfId="8051"/>
    <cellStyle name="Normal 5 7 3 3" xfId="8052"/>
    <cellStyle name="Normal 5 7 4" xfId="8053"/>
    <cellStyle name="Normal 5 7 4 2" xfId="8054"/>
    <cellStyle name="Normal 5 7 5" xfId="8055"/>
    <cellStyle name="Normal 5 8" xfId="8056"/>
    <cellStyle name="Normal 5 8 2" xfId="8057"/>
    <cellStyle name="Normal 5 8 2 2" xfId="8058"/>
    <cellStyle name="Normal 5 8 2 2 2" xfId="8059"/>
    <cellStyle name="Normal 5 8 2 3" xfId="8060"/>
    <cellStyle name="Normal 5 8 3" xfId="8061"/>
    <cellStyle name="Normal 5 8 3 2" xfId="8062"/>
    <cellStyle name="Normal 5 8 4" xfId="8063"/>
    <cellStyle name="Normal 5 9" xfId="8064"/>
    <cellStyle name="Normal 5 9 2" xfId="8065"/>
    <cellStyle name="Normal 5 9 2 2" xfId="8066"/>
    <cellStyle name="Normal 5 9 2 2 2" xfId="8067"/>
    <cellStyle name="Normal 5 9 2 3" xfId="8068"/>
    <cellStyle name="Normal 5 9 3" xfId="8069"/>
    <cellStyle name="Normal 5 9 3 2" xfId="8070"/>
    <cellStyle name="Normal 5 9 4" xfId="8071"/>
    <cellStyle name="Normal 6" xfId="16"/>
    <cellStyle name="Normal 6 10" xfId="8073"/>
    <cellStyle name="Normal 6 10 2" xfId="8074"/>
    <cellStyle name="Normal 6 11" xfId="8075"/>
    <cellStyle name="Normal 6 12" xfId="8076"/>
    <cellStyle name="Normal 6 13" xfId="8903"/>
    <cellStyle name="Normal 6 14" xfId="8072"/>
    <cellStyle name="Normal 6 15" xfId="8975"/>
    <cellStyle name="Normal 6 16" xfId="12964"/>
    <cellStyle name="Normal 6 2" xfId="8077"/>
    <cellStyle name="Normal 6 2 10" xfId="8078"/>
    <cellStyle name="Normal 6 2 11" xfId="8988"/>
    <cellStyle name="Normal 6 2 11 2" xfId="16844"/>
    <cellStyle name="Normal 6 2 2" xfId="8079"/>
    <cellStyle name="Normal 6 2 2 2" xfId="8080"/>
    <cellStyle name="Normal 6 2 2 2 2" xfId="8081"/>
    <cellStyle name="Normal 6 2 2 2 2 2" xfId="8082"/>
    <cellStyle name="Normal 6 2 2 2 2 2 2" xfId="8083"/>
    <cellStyle name="Normal 6 2 2 2 2 2 2 2" xfId="8084"/>
    <cellStyle name="Normal 6 2 2 2 2 2 3" xfId="8085"/>
    <cellStyle name="Normal 6 2 2 2 2 2 3 2" xfId="8086"/>
    <cellStyle name="Normal 6 2 2 2 2 2 4" xfId="8087"/>
    <cellStyle name="Normal 6 2 2 2 2 3" xfId="8088"/>
    <cellStyle name="Normal 6 2 2 2 2 3 2" xfId="8089"/>
    <cellStyle name="Normal 6 2 2 2 2 3 2 2" xfId="8090"/>
    <cellStyle name="Normal 6 2 2 2 2 3 3" xfId="8091"/>
    <cellStyle name="Normal 6 2 2 2 2 4" xfId="8092"/>
    <cellStyle name="Normal 6 2 2 2 2 4 2" xfId="8093"/>
    <cellStyle name="Normal 6 2 2 2 2 5" xfId="8094"/>
    <cellStyle name="Normal 6 2 2 2 3" xfId="8095"/>
    <cellStyle name="Normal 6 2 2 2 3 2" xfId="8096"/>
    <cellStyle name="Normal 6 2 2 2 3 2 2" xfId="8097"/>
    <cellStyle name="Normal 6 2 2 2 3 2 2 2" xfId="8098"/>
    <cellStyle name="Normal 6 2 2 2 3 2 3" xfId="8099"/>
    <cellStyle name="Normal 6 2 2 2 3 3" xfId="8100"/>
    <cellStyle name="Normal 6 2 2 2 3 3 2" xfId="8101"/>
    <cellStyle name="Normal 6 2 2 2 3 4" xfId="8102"/>
    <cellStyle name="Normal 6 2 2 2 3 4 2" xfId="8103"/>
    <cellStyle name="Normal 6 2 2 2 3 5" xfId="8104"/>
    <cellStyle name="Normal 6 2 2 2 4" xfId="8105"/>
    <cellStyle name="Normal 6 2 2 2 4 2" xfId="8106"/>
    <cellStyle name="Normal 6 2 2 2 4 2 2" xfId="8107"/>
    <cellStyle name="Normal 6 2 2 2 4 3" xfId="8108"/>
    <cellStyle name="Normal 6 2 2 2 5" xfId="8109"/>
    <cellStyle name="Normal 6 2 2 2 5 2" xfId="8110"/>
    <cellStyle name="Normal 6 2 2 2 6" xfId="8111"/>
    <cellStyle name="Normal 6 2 2 3" xfId="8112"/>
    <cellStyle name="Normal 6 2 2 3 2" xfId="8113"/>
    <cellStyle name="Normal 6 2 2 3 2 2" xfId="8114"/>
    <cellStyle name="Normal 6 2 2 3 2 2 2" xfId="8115"/>
    <cellStyle name="Normal 6 2 2 3 2 3" xfId="8116"/>
    <cellStyle name="Normal 6 2 2 3 2 3 2" xfId="8117"/>
    <cellStyle name="Normal 6 2 2 3 2 4" xfId="8118"/>
    <cellStyle name="Normal 6 2 2 3 3" xfId="8119"/>
    <cellStyle name="Normal 6 2 2 3 3 2" xfId="8120"/>
    <cellStyle name="Normal 6 2 2 3 3 2 2" xfId="8121"/>
    <cellStyle name="Normal 6 2 2 3 3 3" xfId="8122"/>
    <cellStyle name="Normal 6 2 2 3 4" xfId="8123"/>
    <cellStyle name="Normal 6 2 2 3 4 2" xfId="8124"/>
    <cellStyle name="Normal 6 2 2 3 5" xfId="8125"/>
    <cellStyle name="Normal 6 2 2 4" xfId="8126"/>
    <cellStyle name="Normal 6 2 2 4 2" xfId="8127"/>
    <cellStyle name="Normal 6 2 2 4 2 2" xfId="8128"/>
    <cellStyle name="Normal 6 2 2 4 2 2 2" xfId="8129"/>
    <cellStyle name="Normal 6 2 2 4 2 3" xfId="8130"/>
    <cellStyle name="Normal 6 2 2 4 3" xfId="8131"/>
    <cellStyle name="Normal 6 2 2 4 3 2" xfId="8132"/>
    <cellStyle name="Normal 6 2 2 4 4" xfId="8133"/>
    <cellStyle name="Normal 6 2 2 5" xfId="8134"/>
    <cellStyle name="Normal 6 2 2 5 2" xfId="8135"/>
    <cellStyle name="Normal 6 2 2 5 2 2" xfId="8136"/>
    <cellStyle name="Normal 6 2 2 5 2 2 2" xfId="8137"/>
    <cellStyle name="Normal 6 2 2 5 2 3" xfId="8138"/>
    <cellStyle name="Normal 6 2 2 5 3" xfId="8139"/>
    <cellStyle name="Normal 6 2 2 5 3 2" xfId="8140"/>
    <cellStyle name="Normal 6 2 2 5 4" xfId="8141"/>
    <cellStyle name="Normal 6 2 2 5 4 2" xfId="8142"/>
    <cellStyle name="Normal 6 2 2 5 5" xfId="8143"/>
    <cellStyle name="Normal 6 2 2 6" xfId="8144"/>
    <cellStyle name="Normal 6 2 2 6 2" xfId="8145"/>
    <cellStyle name="Normal 6 2 2 6 2 2" xfId="8146"/>
    <cellStyle name="Normal 6 2 2 6 3" xfId="8147"/>
    <cellStyle name="Normal 6 2 2 7" xfId="8148"/>
    <cellStyle name="Normal 6 2 2 7 2" xfId="8149"/>
    <cellStyle name="Normal 6 2 2 8" xfId="8150"/>
    <cellStyle name="Normal 6 2 2 9" xfId="9025"/>
    <cellStyle name="Normal 6 2 2 9 2" xfId="16852"/>
    <cellStyle name="Normal 6 2 3" xfId="8151"/>
    <cellStyle name="Normal 6 2 3 2" xfId="8152"/>
    <cellStyle name="Normal 6 2 3 2 2" xfId="8153"/>
    <cellStyle name="Normal 6 2 3 2 2 2" xfId="8154"/>
    <cellStyle name="Normal 6 2 3 2 2 2 2" xfId="8155"/>
    <cellStyle name="Normal 6 2 3 2 2 3" xfId="8156"/>
    <cellStyle name="Normal 6 2 3 2 2 3 2" xfId="8157"/>
    <cellStyle name="Normal 6 2 3 2 2 4" xfId="8158"/>
    <cellStyle name="Normal 6 2 3 2 3" xfId="8159"/>
    <cellStyle name="Normal 6 2 3 2 3 2" xfId="8160"/>
    <cellStyle name="Normal 6 2 3 2 3 2 2" xfId="8161"/>
    <cellStyle name="Normal 6 2 3 2 3 3" xfId="8162"/>
    <cellStyle name="Normal 6 2 3 2 4" xfId="8163"/>
    <cellStyle name="Normal 6 2 3 2 4 2" xfId="8164"/>
    <cellStyle name="Normal 6 2 3 2 5" xfId="8165"/>
    <cellStyle name="Normal 6 2 3 3" xfId="8166"/>
    <cellStyle name="Normal 6 2 3 3 2" xfId="8167"/>
    <cellStyle name="Normal 6 2 3 3 2 2" xfId="8168"/>
    <cellStyle name="Normal 6 2 3 3 2 2 2" xfId="8169"/>
    <cellStyle name="Normal 6 2 3 3 2 3" xfId="8170"/>
    <cellStyle name="Normal 6 2 3 3 3" xfId="8171"/>
    <cellStyle name="Normal 6 2 3 3 3 2" xfId="8172"/>
    <cellStyle name="Normal 6 2 3 3 4" xfId="8173"/>
    <cellStyle name="Normal 6 2 3 3 4 2" xfId="8174"/>
    <cellStyle name="Normal 6 2 3 3 5" xfId="8175"/>
    <cellStyle name="Normal 6 2 3 4" xfId="8176"/>
    <cellStyle name="Normal 6 2 3 4 2" xfId="8177"/>
    <cellStyle name="Normal 6 2 3 4 2 2" xfId="8178"/>
    <cellStyle name="Normal 6 2 3 4 3" xfId="8179"/>
    <cellStyle name="Normal 6 2 3 5" xfId="8180"/>
    <cellStyle name="Normal 6 2 3 5 2" xfId="8181"/>
    <cellStyle name="Normal 6 2 3 6" xfId="8182"/>
    <cellStyle name="Normal 6 2 3 7" xfId="9004"/>
    <cellStyle name="Normal 6 2 4" xfId="8183"/>
    <cellStyle name="Normal 6 2 4 2" xfId="8184"/>
    <cellStyle name="Normal 6 2 4 2 2" xfId="8185"/>
    <cellStyle name="Normal 6 2 4 2 2 2" xfId="8186"/>
    <cellStyle name="Normal 6 2 4 2 3" xfId="8187"/>
    <cellStyle name="Normal 6 2 4 2 3 2" xfId="8188"/>
    <cellStyle name="Normal 6 2 4 2 4" xfId="8189"/>
    <cellStyle name="Normal 6 2 4 3" xfId="8190"/>
    <cellStyle name="Normal 6 2 4 3 2" xfId="8191"/>
    <cellStyle name="Normal 6 2 4 3 2 2" xfId="8192"/>
    <cellStyle name="Normal 6 2 4 3 3" xfId="8193"/>
    <cellStyle name="Normal 6 2 4 4" xfId="8194"/>
    <cellStyle name="Normal 6 2 4 4 2" xfId="8195"/>
    <cellStyle name="Normal 6 2 4 5" xfId="8196"/>
    <cellStyle name="Normal 6 2 5" xfId="8197"/>
    <cellStyle name="Normal 6 2 5 2" xfId="8198"/>
    <cellStyle name="Normal 6 2 5 2 2" xfId="8199"/>
    <cellStyle name="Normal 6 2 5 2 2 2" xfId="8200"/>
    <cellStyle name="Normal 6 2 5 2 3" xfId="8201"/>
    <cellStyle name="Normal 6 2 5 3" xfId="8202"/>
    <cellStyle name="Normal 6 2 5 3 2" xfId="8203"/>
    <cellStyle name="Normal 6 2 5 4" xfId="8204"/>
    <cellStyle name="Normal 6 2 6" xfId="8205"/>
    <cellStyle name="Normal 6 2 6 2" xfId="8206"/>
    <cellStyle name="Normal 6 2 6 2 2" xfId="8207"/>
    <cellStyle name="Normal 6 2 6 2 2 2" xfId="8208"/>
    <cellStyle name="Normal 6 2 6 2 3" xfId="8209"/>
    <cellStyle name="Normal 6 2 6 3" xfId="8210"/>
    <cellStyle name="Normal 6 2 6 3 2" xfId="8211"/>
    <cellStyle name="Normal 6 2 6 4" xfId="8212"/>
    <cellStyle name="Normal 6 2 7" xfId="8213"/>
    <cellStyle name="Normal 6 2 7 2" xfId="8214"/>
    <cellStyle name="Normal 6 2 7 2 2" xfId="8215"/>
    <cellStyle name="Normal 6 2 7 3" xfId="8216"/>
    <cellStyle name="Normal 6 2 8" xfId="8217"/>
    <cellStyle name="Normal 6 2 8 2" xfId="8218"/>
    <cellStyle name="Normal 6 2 9" xfId="8219"/>
    <cellStyle name="Normal 6 2 9 2" xfId="8220"/>
    <cellStyle name="Normal 6 3" xfId="8221"/>
    <cellStyle name="Normal 6 3 2" xfId="8222"/>
    <cellStyle name="Normal 6 3 2 2" xfId="8223"/>
    <cellStyle name="Normal 6 3 2 2 2" xfId="8224"/>
    <cellStyle name="Normal 6 3 2 2 2 2" xfId="8225"/>
    <cellStyle name="Normal 6 3 2 2 2 2 2" xfId="8226"/>
    <cellStyle name="Normal 6 3 2 2 2 3" xfId="8227"/>
    <cellStyle name="Normal 6 3 2 2 2 3 2" xfId="8228"/>
    <cellStyle name="Normal 6 3 2 2 2 4" xfId="8229"/>
    <cellStyle name="Normal 6 3 2 2 3" xfId="8230"/>
    <cellStyle name="Normal 6 3 2 2 3 2" xfId="8231"/>
    <cellStyle name="Normal 6 3 2 2 3 2 2" xfId="8232"/>
    <cellStyle name="Normal 6 3 2 2 3 3" xfId="8233"/>
    <cellStyle name="Normal 6 3 2 2 4" xfId="8234"/>
    <cellStyle name="Normal 6 3 2 2 4 2" xfId="8235"/>
    <cellStyle name="Normal 6 3 2 2 5" xfId="8236"/>
    <cellStyle name="Normal 6 3 2 3" xfId="8237"/>
    <cellStyle name="Normal 6 3 2 3 2" xfId="8238"/>
    <cellStyle name="Normal 6 3 2 3 2 2" xfId="8239"/>
    <cellStyle name="Normal 6 3 2 3 2 2 2" xfId="8240"/>
    <cellStyle name="Normal 6 3 2 3 2 3" xfId="8241"/>
    <cellStyle name="Normal 6 3 2 3 3" xfId="8242"/>
    <cellStyle name="Normal 6 3 2 3 3 2" xfId="8243"/>
    <cellStyle name="Normal 6 3 2 3 4" xfId="8244"/>
    <cellStyle name="Normal 6 3 2 3 4 2" xfId="8245"/>
    <cellStyle name="Normal 6 3 2 3 5" xfId="8246"/>
    <cellStyle name="Normal 6 3 2 4" xfId="8247"/>
    <cellStyle name="Normal 6 3 2 4 2" xfId="8248"/>
    <cellStyle name="Normal 6 3 2 4 2 2" xfId="8249"/>
    <cellStyle name="Normal 6 3 2 4 3" xfId="8250"/>
    <cellStyle name="Normal 6 3 2 5" xfId="8251"/>
    <cellStyle name="Normal 6 3 2 5 2" xfId="8252"/>
    <cellStyle name="Normal 6 3 2 6" xfId="8253"/>
    <cellStyle name="Normal 6 3 3" xfId="8254"/>
    <cellStyle name="Normal 6 3 3 2" xfId="8255"/>
    <cellStyle name="Normal 6 3 3 2 2" xfId="8256"/>
    <cellStyle name="Normal 6 3 3 2 2 2" xfId="8257"/>
    <cellStyle name="Normal 6 3 3 2 3" xfId="8258"/>
    <cellStyle name="Normal 6 3 3 2 3 2" xfId="8259"/>
    <cellStyle name="Normal 6 3 3 2 4" xfId="8260"/>
    <cellStyle name="Normal 6 3 3 3" xfId="8261"/>
    <cellStyle name="Normal 6 3 3 3 2" xfId="8262"/>
    <cellStyle name="Normal 6 3 3 3 2 2" xfId="8263"/>
    <cellStyle name="Normal 6 3 3 3 3" xfId="8264"/>
    <cellStyle name="Normal 6 3 3 4" xfId="8265"/>
    <cellStyle name="Normal 6 3 3 4 2" xfId="8266"/>
    <cellStyle name="Normal 6 3 3 5" xfId="8267"/>
    <cellStyle name="Normal 6 3 4" xfId="8268"/>
    <cellStyle name="Normal 6 3 4 2" xfId="8269"/>
    <cellStyle name="Normal 6 3 4 2 2" xfId="8270"/>
    <cellStyle name="Normal 6 3 4 2 2 2" xfId="8271"/>
    <cellStyle name="Normal 6 3 4 2 3" xfId="8272"/>
    <cellStyle name="Normal 6 3 4 3" xfId="8273"/>
    <cellStyle name="Normal 6 3 4 3 2" xfId="8274"/>
    <cellStyle name="Normal 6 3 4 4" xfId="8275"/>
    <cellStyle name="Normal 6 3 5" xfId="8276"/>
    <cellStyle name="Normal 6 3 5 2" xfId="8277"/>
    <cellStyle name="Normal 6 3 5 2 2" xfId="8278"/>
    <cellStyle name="Normal 6 3 5 2 2 2" xfId="8279"/>
    <cellStyle name="Normal 6 3 5 2 3" xfId="8280"/>
    <cellStyle name="Normal 6 3 5 3" xfId="8281"/>
    <cellStyle name="Normal 6 3 5 3 2" xfId="8282"/>
    <cellStyle name="Normal 6 3 5 4" xfId="8283"/>
    <cellStyle name="Normal 6 3 5 4 2" xfId="8284"/>
    <cellStyle name="Normal 6 3 5 5" xfId="8285"/>
    <cellStyle name="Normal 6 3 6" xfId="8286"/>
    <cellStyle name="Normal 6 3 6 2" xfId="8287"/>
    <cellStyle name="Normal 6 3 6 2 2" xfId="8288"/>
    <cellStyle name="Normal 6 3 6 3" xfId="8289"/>
    <cellStyle name="Normal 6 3 7" xfId="8290"/>
    <cellStyle name="Normal 6 3 7 2" xfId="8291"/>
    <cellStyle name="Normal 6 3 8" xfId="8292"/>
    <cellStyle name="Normal 6 3 9" xfId="9012"/>
    <cellStyle name="Normal 6 4" xfId="8293"/>
    <cellStyle name="Normal 6 4 2" xfId="8294"/>
    <cellStyle name="Normal 6 4 2 2" xfId="8295"/>
    <cellStyle name="Normal 6 4 2 2 2" xfId="8296"/>
    <cellStyle name="Normal 6 4 2 2 2 2" xfId="8297"/>
    <cellStyle name="Normal 6 4 2 2 3" xfId="8298"/>
    <cellStyle name="Normal 6 4 2 2 3 2" xfId="8299"/>
    <cellStyle name="Normal 6 4 2 2 4" xfId="8300"/>
    <cellStyle name="Normal 6 4 2 3" xfId="8301"/>
    <cellStyle name="Normal 6 4 2 3 2" xfId="8302"/>
    <cellStyle name="Normal 6 4 2 3 2 2" xfId="8303"/>
    <cellStyle name="Normal 6 4 2 3 3" xfId="8304"/>
    <cellStyle name="Normal 6 4 2 4" xfId="8305"/>
    <cellStyle name="Normal 6 4 2 4 2" xfId="8306"/>
    <cellStyle name="Normal 6 4 2 5" xfId="8307"/>
    <cellStyle name="Normal 6 4 3" xfId="8308"/>
    <cellStyle name="Normal 6 4 3 2" xfId="8309"/>
    <cellStyle name="Normal 6 4 3 2 2" xfId="8310"/>
    <cellStyle name="Normal 6 4 3 2 2 2" xfId="8311"/>
    <cellStyle name="Normal 6 4 3 2 3" xfId="8312"/>
    <cellStyle name="Normal 6 4 3 3" xfId="8313"/>
    <cellStyle name="Normal 6 4 3 3 2" xfId="8314"/>
    <cellStyle name="Normal 6 4 3 4" xfId="8315"/>
    <cellStyle name="Normal 6 4 3 4 2" xfId="8316"/>
    <cellStyle name="Normal 6 4 3 5" xfId="8317"/>
    <cellStyle name="Normal 6 4 4" xfId="8318"/>
    <cellStyle name="Normal 6 4 4 2" xfId="8319"/>
    <cellStyle name="Normal 6 4 4 2 2" xfId="8320"/>
    <cellStyle name="Normal 6 4 4 3" xfId="8321"/>
    <cellStyle name="Normal 6 4 5" xfId="8322"/>
    <cellStyle name="Normal 6 4 5 2" xfId="8323"/>
    <cellStyle name="Normal 6 4 6" xfId="8324"/>
    <cellStyle name="Normal 6 5" xfId="8325"/>
    <cellStyle name="Normal 6 5 2" xfId="8326"/>
    <cellStyle name="Normal 6 5 2 2" xfId="8327"/>
    <cellStyle name="Normal 6 5 2 2 2" xfId="8328"/>
    <cellStyle name="Normal 6 5 2 3" xfId="8329"/>
    <cellStyle name="Normal 6 5 2 3 2" xfId="8330"/>
    <cellStyle name="Normal 6 5 2 4" xfId="8331"/>
    <cellStyle name="Normal 6 5 3" xfId="8332"/>
    <cellStyle name="Normal 6 5 3 2" xfId="8333"/>
    <cellStyle name="Normal 6 5 3 2 2" xfId="8334"/>
    <cellStyle name="Normal 6 5 3 3" xfId="8335"/>
    <cellStyle name="Normal 6 5 4" xfId="8336"/>
    <cellStyle name="Normal 6 5 4 2" xfId="8337"/>
    <cellStyle name="Normal 6 5 5" xfId="8338"/>
    <cellStyle name="Normal 6 5 6" xfId="8997"/>
    <cellStyle name="Normal 6 6" xfId="8339"/>
    <cellStyle name="Normal 6 6 2" xfId="8340"/>
    <cellStyle name="Normal 6 6 2 2" xfId="8341"/>
    <cellStyle name="Normal 6 6 2 2 2" xfId="8342"/>
    <cellStyle name="Normal 6 6 2 3" xfId="8343"/>
    <cellStyle name="Normal 6 6 3" xfId="8344"/>
    <cellStyle name="Normal 6 6 3 2" xfId="8345"/>
    <cellStyle name="Normal 6 6 4" xfId="8346"/>
    <cellStyle name="Normal 6 7" xfId="8347"/>
    <cellStyle name="Normal 6 7 2" xfId="8348"/>
    <cellStyle name="Normal 6 7 2 2" xfId="8349"/>
    <cellStyle name="Normal 6 7 2 2 2" xfId="8350"/>
    <cellStyle name="Normal 6 7 2 3" xfId="8351"/>
    <cellStyle name="Normal 6 7 3" xfId="8352"/>
    <cellStyle name="Normal 6 7 3 2" xfId="8353"/>
    <cellStyle name="Normal 6 7 4" xfId="8354"/>
    <cellStyle name="Normal 6 8" xfId="8355"/>
    <cellStyle name="Normal 6 8 2" xfId="8356"/>
    <cellStyle name="Normal 6 8 2 2" xfId="8357"/>
    <cellStyle name="Normal 6 8 3" xfId="8358"/>
    <cellStyle name="Normal 6 9" xfId="8359"/>
    <cellStyle name="Normal 6 9 2" xfId="8360"/>
    <cellStyle name="Normal 7" xfId="6"/>
    <cellStyle name="Normal 7 2" xfId="8361"/>
    <cellStyle name="Normal 7 2 2" xfId="9032"/>
    <cellStyle name="Normal 7 3" xfId="8896"/>
    <cellStyle name="Normal 8" xfId="5"/>
    <cellStyle name="Normal 8 2" xfId="8363"/>
    <cellStyle name="Normal 8 2 2" xfId="9024"/>
    <cellStyle name="Normal 8 2 2 2" xfId="16851"/>
    <cellStyle name="Normal 8 3" xfId="8362"/>
    <cellStyle name="Normal 8 3 2" xfId="9010"/>
    <cellStyle name="Normal 8 4" xfId="8985"/>
    <cellStyle name="Normal 8 4 2" xfId="16843"/>
    <cellStyle name="Normal 8 5" xfId="12962"/>
    <cellStyle name="Normal 9" xfId="8364"/>
    <cellStyle name="Normal 9 10" xfId="8365"/>
    <cellStyle name="Normal 9 11" xfId="8366"/>
    <cellStyle name="Normal 9 12" xfId="8982"/>
    <cellStyle name="Normal 9 2" xfId="8367"/>
    <cellStyle name="Normal 9 2 2" xfId="8368"/>
    <cellStyle name="Normal 9 2 2 2" xfId="8369"/>
    <cellStyle name="Normal 9 2 2 2 2" xfId="8370"/>
    <cellStyle name="Normal 9 2 2 2 2 2" xfId="8371"/>
    <cellStyle name="Normal 9 2 2 2 2 2 2" xfId="8372"/>
    <cellStyle name="Normal 9 2 2 2 2 3" xfId="8373"/>
    <cellStyle name="Normal 9 2 2 2 2 3 2" xfId="8374"/>
    <cellStyle name="Normal 9 2 2 2 2 4" xfId="8375"/>
    <cellStyle name="Normal 9 2 2 2 3" xfId="8376"/>
    <cellStyle name="Normal 9 2 2 2 3 2" xfId="8377"/>
    <cellStyle name="Normal 9 2 2 2 3 2 2" xfId="8378"/>
    <cellStyle name="Normal 9 2 2 2 3 3" xfId="8379"/>
    <cellStyle name="Normal 9 2 2 2 4" xfId="8380"/>
    <cellStyle name="Normal 9 2 2 2 4 2" xfId="8381"/>
    <cellStyle name="Normal 9 2 2 2 5" xfId="8382"/>
    <cellStyle name="Normal 9 2 2 3" xfId="8383"/>
    <cellStyle name="Normal 9 2 2 3 2" xfId="8384"/>
    <cellStyle name="Normal 9 2 2 3 2 2" xfId="8385"/>
    <cellStyle name="Normal 9 2 2 3 2 2 2" xfId="8386"/>
    <cellStyle name="Normal 9 2 2 3 2 3" xfId="8387"/>
    <cellStyle name="Normal 9 2 2 3 3" xfId="8388"/>
    <cellStyle name="Normal 9 2 2 3 3 2" xfId="8389"/>
    <cellStyle name="Normal 9 2 2 3 4" xfId="8390"/>
    <cellStyle name="Normal 9 2 2 3 4 2" xfId="8391"/>
    <cellStyle name="Normal 9 2 2 3 5" xfId="8392"/>
    <cellStyle name="Normal 9 2 2 4" xfId="8393"/>
    <cellStyle name="Normal 9 2 2 4 2" xfId="8394"/>
    <cellStyle name="Normal 9 2 2 4 2 2" xfId="8395"/>
    <cellStyle name="Normal 9 2 2 4 3" xfId="8396"/>
    <cellStyle name="Normal 9 2 2 5" xfId="8397"/>
    <cellStyle name="Normal 9 2 2 5 2" xfId="8398"/>
    <cellStyle name="Normal 9 2 2 6" xfId="8399"/>
    <cellStyle name="Normal 9 2 3" xfId="8400"/>
    <cellStyle name="Normal 9 2 3 2" xfId="8401"/>
    <cellStyle name="Normal 9 2 3 2 2" xfId="8402"/>
    <cellStyle name="Normal 9 2 3 2 2 2" xfId="8403"/>
    <cellStyle name="Normal 9 2 3 2 3" xfId="8404"/>
    <cellStyle name="Normal 9 2 3 2 3 2" xfId="8405"/>
    <cellStyle name="Normal 9 2 3 2 4" xfId="8406"/>
    <cellStyle name="Normal 9 2 3 3" xfId="8407"/>
    <cellStyle name="Normal 9 2 3 3 2" xfId="8408"/>
    <cellStyle name="Normal 9 2 3 3 2 2" xfId="8409"/>
    <cellStyle name="Normal 9 2 3 3 3" xfId="8410"/>
    <cellStyle name="Normal 9 2 3 4" xfId="8411"/>
    <cellStyle name="Normal 9 2 3 4 2" xfId="8412"/>
    <cellStyle name="Normal 9 2 3 5" xfId="8413"/>
    <cellStyle name="Normal 9 2 4" xfId="8414"/>
    <cellStyle name="Normal 9 2 4 2" xfId="8415"/>
    <cellStyle name="Normal 9 2 4 2 2" xfId="8416"/>
    <cellStyle name="Normal 9 2 4 2 2 2" xfId="8417"/>
    <cellStyle name="Normal 9 2 4 2 3" xfId="8418"/>
    <cellStyle name="Normal 9 2 4 3" xfId="8419"/>
    <cellStyle name="Normal 9 2 4 3 2" xfId="8420"/>
    <cellStyle name="Normal 9 2 4 4" xfId="8421"/>
    <cellStyle name="Normal 9 2 5" xfId="8422"/>
    <cellStyle name="Normal 9 2 5 2" xfId="8423"/>
    <cellStyle name="Normal 9 2 5 2 2" xfId="8424"/>
    <cellStyle name="Normal 9 2 5 2 2 2" xfId="8425"/>
    <cellStyle name="Normal 9 2 5 2 3" xfId="8426"/>
    <cellStyle name="Normal 9 2 5 3" xfId="8427"/>
    <cellStyle name="Normal 9 2 5 3 2" xfId="8428"/>
    <cellStyle name="Normal 9 2 5 4" xfId="8429"/>
    <cellStyle name="Normal 9 2 5 4 2" xfId="8430"/>
    <cellStyle name="Normal 9 2 5 5" xfId="8431"/>
    <cellStyle name="Normal 9 2 6" xfId="8432"/>
    <cellStyle name="Normal 9 2 6 2" xfId="8433"/>
    <cellStyle name="Normal 9 2 6 2 2" xfId="8434"/>
    <cellStyle name="Normal 9 2 6 3" xfId="8435"/>
    <cellStyle name="Normal 9 2 7" xfId="8436"/>
    <cellStyle name="Normal 9 2 7 2" xfId="8437"/>
    <cellStyle name="Normal 9 2 8" xfId="8438"/>
    <cellStyle name="Normal 9 3" xfId="8439"/>
    <cellStyle name="Normal 9 3 2" xfId="8440"/>
    <cellStyle name="Normal 9 3 2 2" xfId="8441"/>
    <cellStyle name="Normal 9 3 2 2 2" xfId="8442"/>
    <cellStyle name="Normal 9 3 2 2 2 2" xfId="8443"/>
    <cellStyle name="Normal 9 3 2 2 3" xfId="8444"/>
    <cellStyle name="Normal 9 3 2 2 3 2" xfId="8445"/>
    <cellStyle name="Normal 9 3 2 2 4" xfId="8446"/>
    <cellStyle name="Normal 9 3 2 3" xfId="8447"/>
    <cellStyle name="Normal 9 3 2 3 2" xfId="8448"/>
    <cellStyle name="Normal 9 3 2 3 2 2" xfId="8449"/>
    <cellStyle name="Normal 9 3 2 3 3" xfId="8450"/>
    <cellStyle name="Normal 9 3 2 4" xfId="8451"/>
    <cellStyle name="Normal 9 3 2 4 2" xfId="8452"/>
    <cellStyle name="Normal 9 3 2 5" xfId="8453"/>
    <cellStyle name="Normal 9 3 3" xfId="8454"/>
    <cellStyle name="Normal 9 3 3 2" xfId="8455"/>
    <cellStyle name="Normal 9 3 3 2 2" xfId="8456"/>
    <cellStyle name="Normal 9 3 3 2 2 2" xfId="8457"/>
    <cellStyle name="Normal 9 3 3 2 3" xfId="8458"/>
    <cellStyle name="Normal 9 3 3 3" xfId="8459"/>
    <cellStyle name="Normal 9 3 3 3 2" xfId="8460"/>
    <cellStyle name="Normal 9 3 3 4" xfId="8461"/>
    <cellStyle name="Normal 9 3 3 4 2" xfId="8462"/>
    <cellStyle name="Normal 9 3 3 5" xfId="8463"/>
    <cellStyle name="Normal 9 3 4" xfId="8464"/>
    <cellStyle name="Normal 9 3 4 2" xfId="8465"/>
    <cellStyle name="Normal 9 3 4 2 2" xfId="8466"/>
    <cellStyle name="Normal 9 3 4 3" xfId="8467"/>
    <cellStyle name="Normal 9 3 5" xfId="8468"/>
    <cellStyle name="Normal 9 3 5 2" xfId="8469"/>
    <cellStyle name="Normal 9 3 6" xfId="8470"/>
    <cellStyle name="Normal 9 4" xfId="8471"/>
    <cellStyle name="Normal 9 4 2" xfId="8472"/>
    <cellStyle name="Normal 9 4 2 2" xfId="8473"/>
    <cellStyle name="Normal 9 4 2 2 2" xfId="8474"/>
    <cellStyle name="Normal 9 4 2 3" xfId="8475"/>
    <cellStyle name="Normal 9 4 2 3 2" xfId="8476"/>
    <cellStyle name="Normal 9 4 2 4" xfId="8477"/>
    <cellStyle name="Normal 9 4 3" xfId="8478"/>
    <cellStyle name="Normal 9 4 3 2" xfId="8479"/>
    <cellStyle name="Normal 9 4 3 2 2" xfId="8480"/>
    <cellStyle name="Normal 9 4 3 3" xfId="8481"/>
    <cellStyle name="Normal 9 4 4" xfId="8482"/>
    <cellStyle name="Normal 9 4 4 2" xfId="8483"/>
    <cellStyle name="Normal 9 4 5" xfId="8484"/>
    <cellStyle name="Normal 9 5" xfId="8485"/>
    <cellStyle name="Normal 9 5 2" xfId="8486"/>
    <cellStyle name="Normal 9 5 2 2" xfId="8487"/>
    <cellStyle name="Normal 9 5 2 2 2" xfId="8488"/>
    <cellStyle name="Normal 9 5 2 3" xfId="8489"/>
    <cellStyle name="Normal 9 5 3" xfId="8490"/>
    <cellStyle name="Normal 9 5 3 2" xfId="8491"/>
    <cellStyle name="Normal 9 5 4" xfId="8492"/>
    <cellStyle name="Normal 9 6" xfId="8493"/>
    <cellStyle name="Normal 9 6 2" xfId="8494"/>
    <cellStyle name="Normal 9 6 2 2" xfId="8495"/>
    <cellStyle name="Normal 9 6 2 2 2" xfId="8496"/>
    <cellStyle name="Normal 9 6 2 3" xfId="8497"/>
    <cellStyle name="Normal 9 6 3" xfId="8498"/>
    <cellStyle name="Normal 9 6 3 2" xfId="8499"/>
    <cellStyle name="Normal 9 6 4" xfId="8500"/>
    <cellStyle name="Normal 9 7" xfId="8501"/>
    <cellStyle name="Normal 9 7 2" xfId="8502"/>
    <cellStyle name="Normal 9 7 2 2" xfId="8503"/>
    <cellStyle name="Normal 9 7 3" xfId="8504"/>
    <cellStyle name="Normal 9 8" xfId="8505"/>
    <cellStyle name="Normal 9 8 2" xfId="8506"/>
    <cellStyle name="Normal 9 9" xfId="8507"/>
    <cellStyle name="Normal 9 9 2" xfId="8508"/>
    <cellStyle name="Normal_Totals" xfId="12913"/>
    <cellStyle name="Note 2" xfId="8509"/>
    <cellStyle name="Note 2 10" xfId="8510"/>
    <cellStyle name="Note 2 10 2" xfId="8511"/>
    <cellStyle name="Note 2 11" xfId="8512"/>
    <cellStyle name="Note 2 12" xfId="8918"/>
    <cellStyle name="Note 2 13" xfId="8961"/>
    <cellStyle name="Note 2 14" xfId="12931"/>
    <cellStyle name="Note 2 2" xfId="8513"/>
    <cellStyle name="Note 2 2 10" xfId="8514"/>
    <cellStyle name="Note 2 2 11" xfId="8515"/>
    <cellStyle name="Note 2 2 12" xfId="8919"/>
    <cellStyle name="Note 2 2 2" xfId="8516"/>
    <cellStyle name="Note 2 2 2 2" xfId="8517"/>
    <cellStyle name="Note 2 2 2 2 2" xfId="8518"/>
    <cellStyle name="Note 2 2 2 2 2 2" xfId="8519"/>
    <cellStyle name="Note 2 2 2 2 2 2 2" xfId="8520"/>
    <cellStyle name="Note 2 2 2 2 2 2 2 2" xfId="8521"/>
    <cellStyle name="Note 2 2 2 2 2 2 3" xfId="8522"/>
    <cellStyle name="Note 2 2 2 2 2 2 3 2" xfId="8523"/>
    <cellStyle name="Note 2 2 2 2 2 2 4" xfId="8524"/>
    <cellStyle name="Note 2 2 2 2 2 3" xfId="8525"/>
    <cellStyle name="Note 2 2 2 2 2 3 2" xfId="8526"/>
    <cellStyle name="Note 2 2 2 2 2 3 2 2" xfId="8527"/>
    <cellStyle name="Note 2 2 2 2 2 3 3" xfId="8528"/>
    <cellStyle name="Note 2 2 2 2 2 4" xfId="8529"/>
    <cellStyle name="Note 2 2 2 2 2 4 2" xfId="8530"/>
    <cellStyle name="Note 2 2 2 2 2 5" xfId="8531"/>
    <cellStyle name="Note 2 2 2 2 3" xfId="8532"/>
    <cellStyle name="Note 2 2 2 2 3 2" xfId="8533"/>
    <cellStyle name="Note 2 2 2 2 3 2 2" xfId="8534"/>
    <cellStyle name="Note 2 2 2 2 3 2 2 2" xfId="8535"/>
    <cellStyle name="Note 2 2 2 2 3 2 3" xfId="8536"/>
    <cellStyle name="Note 2 2 2 2 3 3" xfId="8537"/>
    <cellStyle name="Note 2 2 2 2 3 3 2" xfId="8538"/>
    <cellStyle name="Note 2 2 2 2 3 4" xfId="8539"/>
    <cellStyle name="Note 2 2 2 2 3 4 2" xfId="8540"/>
    <cellStyle name="Note 2 2 2 2 3 5" xfId="8541"/>
    <cellStyle name="Note 2 2 2 2 4" xfId="8542"/>
    <cellStyle name="Note 2 2 2 2 4 2" xfId="8543"/>
    <cellStyle name="Note 2 2 2 2 4 2 2" xfId="8544"/>
    <cellStyle name="Note 2 2 2 2 4 3" xfId="8545"/>
    <cellStyle name="Note 2 2 2 2 5" xfId="8546"/>
    <cellStyle name="Note 2 2 2 2 5 2" xfId="8547"/>
    <cellStyle name="Note 2 2 2 2 6" xfId="8548"/>
    <cellStyle name="Note 2 2 2 3" xfId="8549"/>
    <cellStyle name="Note 2 2 2 3 2" xfId="8550"/>
    <cellStyle name="Note 2 2 2 3 2 2" xfId="8551"/>
    <cellStyle name="Note 2 2 2 3 2 2 2" xfId="8552"/>
    <cellStyle name="Note 2 2 2 3 2 3" xfId="8553"/>
    <cellStyle name="Note 2 2 2 3 2 3 2" xfId="8554"/>
    <cellStyle name="Note 2 2 2 3 2 4" xfId="8555"/>
    <cellStyle name="Note 2 2 2 3 3" xfId="8556"/>
    <cellStyle name="Note 2 2 2 3 3 2" xfId="8557"/>
    <cellStyle name="Note 2 2 2 3 3 2 2" xfId="8558"/>
    <cellStyle name="Note 2 2 2 3 3 3" xfId="8559"/>
    <cellStyle name="Note 2 2 2 3 4" xfId="8560"/>
    <cellStyle name="Note 2 2 2 3 4 2" xfId="8561"/>
    <cellStyle name="Note 2 2 2 3 5" xfId="8562"/>
    <cellStyle name="Note 2 2 2 4" xfId="8563"/>
    <cellStyle name="Note 2 2 2 4 2" xfId="8564"/>
    <cellStyle name="Note 2 2 2 4 2 2" xfId="8565"/>
    <cellStyle name="Note 2 2 2 4 2 2 2" xfId="8566"/>
    <cellStyle name="Note 2 2 2 4 2 3" xfId="8567"/>
    <cellStyle name="Note 2 2 2 4 3" xfId="8568"/>
    <cellStyle name="Note 2 2 2 4 3 2" xfId="8569"/>
    <cellStyle name="Note 2 2 2 4 4" xfId="8570"/>
    <cellStyle name="Note 2 2 2 5" xfId="8571"/>
    <cellStyle name="Note 2 2 2 5 2" xfId="8572"/>
    <cellStyle name="Note 2 2 2 5 2 2" xfId="8573"/>
    <cellStyle name="Note 2 2 2 5 2 2 2" xfId="8574"/>
    <cellStyle name="Note 2 2 2 5 2 3" xfId="8575"/>
    <cellStyle name="Note 2 2 2 5 3" xfId="8576"/>
    <cellStyle name="Note 2 2 2 5 3 2" xfId="8577"/>
    <cellStyle name="Note 2 2 2 5 4" xfId="8578"/>
    <cellStyle name="Note 2 2 2 5 4 2" xfId="8579"/>
    <cellStyle name="Note 2 2 2 5 5" xfId="8580"/>
    <cellStyle name="Note 2 2 2 6" xfId="8581"/>
    <cellStyle name="Note 2 2 2 6 2" xfId="8582"/>
    <cellStyle name="Note 2 2 2 6 2 2" xfId="8583"/>
    <cellStyle name="Note 2 2 2 6 3" xfId="8584"/>
    <cellStyle name="Note 2 2 2 7" xfId="8585"/>
    <cellStyle name="Note 2 2 2 7 2" xfId="8586"/>
    <cellStyle name="Note 2 2 2 8" xfId="8587"/>
    <cellStyle name="Note 2 2 3" xfId="8588"/>
    <cellStyle name="Note 2 2 3 2" xfId="8589"/>
    <cellStyle name="Note 2 2 3 2 2" xfId="8590"/>
    <cellStyle name="Note 2 2 3 2 2 2" xfId="8591"/>
    <cellStyle name="Note 2 2 3 2 2 2 2" xfId="8592"/>
    <cellStyle name="Note 2 2 3 2 2 3" xfId="8593"/>
    <cellStyle name="Note 2 2 3 2 2 3 2" xfId="8594"/>
    <cellStyle name="Note 2 2 3 2 2 4" xfId="8595"/>
    <cellStyle name="Note 2 2 3 2 3" xfId="8596"/>
    <cellStyle name="Note 2 2 3 2 3 2" xfId="8597"/>
    <cellStyle name="Note 2 2 3 2 3 2 2" xfId="8598"/>
    <cellStyle name="Note 2 2 3 2 3 3" xfId="8599"/>
    <cellStyle name="Note 2 2 3 2 4" xfId="8600"/>
    <cellStyle name="Note 2 2 3 2 4 2" xfId="8601"/>
    <cellStyle name="Note 2 2 3 2 5" xfId="8602"/>
    <cellStyle name="Note 2 2 3 3" xfId="8603"/>
    <cellStyle name="Note 2 2 3 3 2" xfId="8604"/>
    <cellStyle name="Note 2 2 3 3 2 2" xfId="8605"/>
    <cellStyle name="Note 2 2 3 3 2 2 2" xfId="8606"/>
    <cellStyle name="Note 2 2 3 3 2 3" xfId="8607"/>
    <cellStyle name="Note 2 2 3 3 3" xfId="8608"/>
    <cellStyle name="Note 2 2 3 3 3 2" xfId="8609"/>
    <cellStyle name="Note 2 2 3 3 4" xfId="8610"/>
    <cellStyle name="Note 2 2 3 3 4 2" xfId="8611"/>
    <cellStyle name="Note 2 2 3 3 5" xfId="8612"/>
    <cellStyle name="Note 2 2 3 4" xfId="8613"/>
    <cellStyle name="Note 2 2 3 4 2" xfId="8614"/>
    <cellStyle name="Note 2 2 3 4 2 2" xfId="8615"/>
    <cellStyle name="Note 2 2 3 4 3" xfId="8616"/>
    <cellStyle name="Note 2 2 3 5" xfId="8617"/>
    <cellStyle name="Note 2 2 3 5 2" xfId="8618"/>
    <cellStyle name="Note 2 2 3 6" xfId="8619"/>
    <cellStyle name="Note 2 2 4" xfId="8620"/>
    <cellStyle name="Note 2 2 4 2" xfId="8621"/>
    <cellStyle name="Note 2 2 4 2 2" xfId="8622"/>
    <cellStyle name="Note 2 2 4 2 2 2" xfId="8623"/>
    <cellStyle name="Note 2 2 4 2 3" xfId="8624"/>
    <cellStyle name="Note 2 2 4 2 3 2" xfId="8625"/>
    <cellStyle name="Note 2 2 4 2 4" xfId="8626"/>
    <cellStyle name="Note 2 2 4 3" xfId="8627"/>
    <cellStyle name="Note 2 2 4 3 2" xfId="8628"/>
    <cellStyle name="Note 2 2 4 3 2 2" xfId="8629"/>
    <cellStyle name="Note 2 2 4 3 3" xfId="8630"/>
    <cellStyle name="Note 2 2 4 4" xfId="8631"/>
    <cellStyle name="Note 2 2 4 4 2" xfId="8632"/>
    <cellStyle name="Note 2 2 4 5" xfId="8633"/>
    <cellStyle name="Note 2 2 5" xfId="8634"/>
    <cellStyle name="Note 2 2 5 2" xfId="8635"/>
    <cellStyle name="Note 2 2 5 2 2" xfId="8636"/>
    <cellStyle name="Note 2 2 5 2 2 2" xfId="8637"/>
    <cellStyle name="Note 2 2 5 2 3" xfId="8638"/>
    <cellStyle name="Note 2 2 5 3" xfId="8639"/>
    <cellStyle name="Note 2 2 5 3 2" xfId="8640"/>
    <cellStyle name="Note 2 2 5 4" xfId="8641"/>
    <cellStyle name="Note 2 2 6" xfId="8642"/>
    <cellStyle name="Note 2 2 6 2" xfId="8643"/>
    <cellStyle name="Note 2 2 6 2 2" xfId="8644"/>
    <cellStyle name="Note 2 2 6 2 2 2" xfId="8645"/>
    <cellStyle name="Note 2 2 6 2 3" xfId="8646"/>
    <cellStyle name="Note 2 2 6 3" xfId="8647"/>
    <cellStyle name="Note 2 2 6 3 2" xfId="8648"/>
    <cellStyle name="Note 2 2 6 4" xfId="8649"/>
    <cellStyle name="Note 2 2 7" xfId="8650"/>
    <cellStyle name="Note 2 2 7 2" xfId="8651"/>
    <cellStyle name="Note 2 2 7 2 2" xfId="8652"/>
    <cellStyle name="Note 2 2 7 3" xfId="8653"/>
    <cellStyle name="Note 2 2 8" xfId="8654"/>
    <cellStyle name="Note 2 2 8 2" xfId="8655"/>
    <cellStyle name="Note 2 2 9" xfId="8656"/>
    <cellStyle name="Note 2 2 9 2" xfId="8657"/>
    <cellStyle name="Note 2 3" xfId="8658"/>
    <cellStyle name="Note 2 3 2" xfId="8659"/>
    <cellStyle name="Note 2 3 2 2" xfId="8660"/>
    <cellStyle name="Note 2 3 2 2 2" xfId="8661"/>
    <cellStyle name="Note 2 3 2 2 2 2" xfId="8662"/>
    <cellStyle name="Note 2 3 2 2 2 2 2" xfId="8663"/>
    <cellStyle name="Note 2 3 2 2 2 3" xfId="8664"/>
    <cellStyle name="Note 2 3 2 2 2 3 2" xfId="8665"/>
    <cellStyle name="Note 2 3 2 2 2 4" xfId="8666"/>
    <cellStyle name="Note 2 3 2 2 3" xfId="8667"/>
    <cellStyle name="Note 2 3 2 2 3 2" xfId="8668"/>
    <cellStyle name="Note 2 3 2 2 3 2 2" xfId="8669"/>
    <cellStyle name="Note 2 3 2 2 3 3" xfId="8670"/>
    <cellStyle name="Note 2 3 2 2 4" xfId="8671"/>
    <cellStyle name="Note 2 3 2 2 4 2" xfId="8672"/>
    <cellStyle name="Note 2 3 2 2 5" xfId="8673"/>
    <cellStyle name="Note 2 3 2 3" xfId="8674"/>
    <cellStyle name="Note 2 3 2 3 2" xfId="8675"/>
    <cellStyle name="Note 2 3 2 3 2 2" xfId="8676"/>
    <cellStyle name="Note 2 3 2 3 2 2 2" xfId="8677"/>
    <cellStyle name="Note 2 3 2 3 2 3" xfId="8678"/>
    <cellStyle name="Note 2 3 2 3 3" xfId="8679"/>
    <cellStyle name="Note 2 3 2 3 3 2" xfId="8680"/>
    <cellStyle name="Note 2 3 2 3 4" xfId="8681"/>
    <cellStyle name="Note 2 3 2 3 4 2" xfId="8682"/>
    <cellStyle name="Note 2 3 2 3 5" xfId="8683"/>
    <cellStyle name="Note 2 3 2 4" xfId="8684"/>
    <cellStyle name="Note 2 3 2 4 2" xfId="8685"/>
    <cellStyle name="Note 2 3 2 4 2 2" xfId="8686"/>
    <cellStyle name="Note 2 3 2 4 3" xfId="8687"/>
    <cellStyle name="Note 2 3 2 5" xfId="8688"/>
    <cellStyle name="Note 2 3 2 5 2" xfId="8689"/>
    <cellStyle name="Note 2 3 2 6" xfId="8690"/>
    <cellStyle name="Note 2 3 3" xfId="8691"/>
    <cellStyle name="Note 2 3 3 2" xfId="8692"/>
    <cellStyle name="Note 2 3 3 2 2" xfId="8693"/>
    <cellStyle name="Note 2 3 3 2 2 2" xfId="8694"/>
    <cellStyle name="Note 2 3 3 2 3" xfId="8695"/>
    <cellStyle name="Note 2 3 3 2 3 2" xfId="8696"/>
    <cellStyle name="Note 2 3 3 2 4" xfId="8697"/>
    <cellStyle name="Note 2 3 3 3" xfId="8698"/>
    <cellStyle name="Note 2 3 3 3 2" xfId="8699"/>
    <cellStyle name="Note 2 3 3 3 2 2" xfId="8700"/>
    <cellStyle name="Note 2 3 3 3 3" xfId="8701"/>
    <cellStyle name="Note 2 3 3 4" xfId="8702"/>
    <cellStyle name="Note 2 3 3 4 2" xfId="8703"/>
    <cellStyle name="Note 2 3 3 5" xfId="8704"/>
    <cellStyle name="Note 2 3 4" xfId="8705"/>
    <cellStyle name="Note 2 3 4 2" xfId="8706"/>
    <cellStyle name="Note 2 3 4 2 2" xfId="8707"/>
    <cellStyle name="Note 2 3 4 2 2 2" xfId="8708"/>
    <cellStyle name="Note 2 3 4 2 3" xfId="8709"/>
    <cellStyle name="Note 2 3 4 3" xfId="8710"/>
    <cellStyle name="Note 2 3 4 3 2" xfId="8711"/>
    <cellStyle name="Note 2 3 4 4" xfId="8712"/>
    <cellStyle name="Note 2 3 5" xfId="8713"/>
    <cellStyle name="Note 2 3 5 2" xfId="8714"/>
    <cellStyle name="Note 2 3 5 2 2" xfId="8715"/>
    <cellStyle name="Note 2 3 5 2 2 2" xfId="8716"/>
    <cellStyle name="Note 2 3 5 2 3" xfId="8717"/>
    <cellStyle name="Note 2 3 5 3" xfId="8718"/>
    <cellStyle name="Note 2 3 5 3 2" xfId="8719"/>
    <cellStyle name="Note 2 3 5 4" xfId="8720"/>
    <cellStyle name="Note 2 3 5 4 2" xfId="8721"/>
    <cellStyle name="Note 2 3 5 5" xfId="8722"/>
    <cellStyle name="Note 2 3 6" xfId="8723"/>
    <cellStyle name="Note 2 3 6 2" xfId="8724"/>
    <cellStyle name="Note 2 3 6 2 2" xfId="8725"/>
    <cellStyle name="Note 2 3 6 3" xfId="8726"/>
    <cellStyle name="Note 2 3 7" xfId="8727"/>
    <cellStyle name="Note 2 3 7 2" xfId="8728"/>
    <cellStyle name="Note 2 3 8" xfId="8729"/>
    <cellStyle name="Note 2 3 9" xfId="8730"/>
    <cellStyle name="Note 2 4" xfId="8731"/>
    <cellStyle name="Note 2 4 2" xfId="8732"/>
    <cellStyle name="Note 2 4 2 2" xfId="8733"/>
    <cellStyle name="Note 2 4 2 2 2" xfId="8734"/>
    <cellStyle name="Note 2 4 2 2 2 2" xfId="8735"/>
    <cellStyle name="Note 2 4 2 2 3" xfId="8736"/>
    <cellStyle name="Note 2 4 2 2 3 2" xfId="8737"/>
    <cellStyle name="Note 2 4 2 2 4" xfId="8738"/>
    <cellStyle name="Note 2 4 2 3" xfId="8739"/>
    <cellStyle name="Note 2 4 2 3 2" xfId="8740"/>
    <cellStyle name="Note 2 4 2 3 2 2" xfId="8741"/>
    <cellStyle name="Note 2 4 2 3 3" xfId="8742"/>
    <cellStyle name="Note 2 4 2 4" xfId="8743"/>
    <cellStyle name="Note 2 4 2 4 2" xfId="8744"/>
    <cellStyle name="Note 2 4 2 5" xfId="8745"/>
    <cellStyle name="Note 2 4 3" xfId="8746"/>
    <cellStyle name="Note 2 4 3 2" xfId="8747"/>
    <cellStyle name="Note 2 4 3 2 2" xfId="8748"/>
    <cellStyle name="Note 2 4 3 2 2 2" xfId="8749"/>
    <cellStyle name="Note 2 4 3 2 3" xfId="8750"/>
    <cellStyle name="Note 2 4 3 3" xfId="8751"/>
    <cellStyle name="Note 2 4 3 3 2" xfId="8752"/>
    <cellStyle name="Note 2 4 3 4" xfId="8753"/>
    <cellStyle name="Note 2 4 3 4 2" xfId="8754"/>
    <cellStyle name="Note 2 4 3 5" xfId="8755"/>
    <cellStyle name="Note 2 4 4" xfId="8756"/>
    <cellStyle name="Note 2 4 4 2" xfId="8757"/>
    <cellStyle name="Note 2 4 4 2 2" xfId="8758"/>
    <cellStyle name="Note 2 4 4 3" xfId="8759"/>
    <cellStyle name="Note 2 4 5" xfId="8760"/>
    <cellStyle name="Note 2 4 5 2" xfId="8761"/>
    <cellStyle name="Note 2 4 6" xfId="8762"/>
    <cellStyle name="Note 2 5" xfId="8763"/>
    <cellStyle name="Note 2 5 2" xfId="8764"/>
    <cellStyle name="Note 2 5 2 2" xfId="8765"/>
    <cellStyle name="Note 2 5 2 2 2" xfId="8766"/>
    <cellStyle name="Note 2 5 2 3" xfId="8767"/>
    <cellStyle name="Note 2 5 2 3 2" xfId="8768"/>
    <cellStyle name="Note 2 5 2 4" xfId="8769"/>
    <cellStyle name="Note 2 5 3" xfId="8770"/>
    <cellStyle name="Note 2 5 3 2" xfId="8771"/>
    <cellStyle name="Note 2 5 3 2 2" xfId="8772"/>
    <cellStyle name="Note 2 5 3 3" xfId="8773"/>
    <cellStyle name="Note 2 5 4" xfId="8774"/>
    <cellStyle name="Note 2 5 4 2" xfId="8775"/>
    <cellStyle name="Note 2 5 5" xfId="8776"/>
    <cellStyle name="Note 2 6" xfId="8777"/>
    <cellStyle name="Note 2 6 2" xfId="8778"/>
    <cellStyle name="Note 2 6 2 2" xfId="8779"/>
    <cellStyle name="Note 2 6 2 2 2" xfId="8780"/>
    <cellStyle name="Note 2 6 2 3" xfId="8781"/>
    <cellStyle name="Note 2 6 3" xfId="8782"/>
    <cellStyle name="Note 2 6 3 2" xfId="8783"/>
    <cellStyle name="Note 2 6 4" xfId="8784"/>
    <cellStyle name="Note 2 7" xfId="8785"/>
    <cellStyle name="Note 2 7 2" xfId="8786"/>
    <cellStyle name="Note 2 7 2 2" xfId="8787"/>
    <cellStyle name="Note 2 7 2 2 2" xfId="8788"/>
    <cellStyle name="Note 2 7 2 3" xfId="8789"/>
    <cellStyle name="Note 2 7 3" xfId="8790"/>
    <cellStyle name="Note 2 7 3 2" xfId="8791"/>
    <cellStyle name="Note 2 7 4" xfId="8792"/>
    <cellStyle name="Note 2 8" xfId="8793"/>
    <cellStyle name="Note 2 8 2" xfId="8794"/>
    <cellStyle name="Note 2 8 2 2" xfId="8795"/>
    <cellStyle name="Note 2 8 3" xfId="8796"/>
    <cellStyle name="Note 2 9" xfId="8797"/>
    <cellStyle name="Note 2 9 2" xfId="8798"/>
    <cellStyle name="Note 3" xfId="8799"/>
    <cellStyle name="Note 3 10" xfId="8920"/>
    <cellStyle name="Note 3 2" xfId="8800"/>
    <cellStyle name="Note 3 2 2" xfId="8801"/>
    <cellStyle name="Note 3 2 2 2" xfId="8802"/>
    <cellStyle name="Note 3 2 2 2 2" xfId="8803"/>
    <cellStyle name="Note 3 2 2 2 2 2" xfId="8804"/>
    <cellStyle name="Note 3 2 2 2 3" xfId="8805"/>
    <cellStyle name="Note 3 2 2 2 3 2" xfId="8806"/>
    <cellStyle name="Note 3 2 2 2 4" xfId="8807"/>
    <cellStyle name="Note 3 2 2 3" xfId="8808"/>
    <cellStyle name="Note 3 2 2 3 2" xfId="8809"/>
    <cellStyle name="Note 3 2 2 3 2 2" xfId="8810"/>
    <cellStyle name="Note 3 2 2 3 3" xfId="8811"/>
    <cellStyle name="Note 3 2 2 4" xfId="8812"/>
    <cellStyle name="Note 3 2 2 4 2" xfId="8813"/>
    <cellStyle name="Note 3 2 2 5" xfId="8814"/>
    <cellStyle name="Note 3 2 3" xfId="8815"/>
    <cellStyle name="Note 3 2 3 2" xfId="8816"/>
    <cellStyle name="Note 3 2 3 2 2" xfId="8817"/>
    <cellStyle name="Note 3 2 3 2 2 2" xfId="8818"/>
    <cellStyle name="Note 3 2 3 2 3" xfId="8819"/>
    <cellStyle name="Note 3 2 3 3" xfId="8820"/>
    <cellStyle name="Note 3 2 3 3 2" xfId="8821"/>
    <cellStyle name="Note 3 2 3 4" xfId="8822"/>
    <cellStyle name="Note 3 2 3 4 2" xfId="8823"/>
    <cellStyle name="Note 3 2 3 5" xfId="8824"/>
    <cellStyle name="Note 3 2 4" xfId="8825"/>
    <cellStyle name="Note 3 2 4 2" xfId="8826"/>
    <cellStyle name="Note 3 2 4 2 2" xfId="8827"/>
    <cellStyle name="Note 3 2 4 3" xfId="8828"/>
    <cellStyle name="Note 3 2 5" xfId="8829"/>
    <cellStyle name="Note 3 2 5 2" xfId="8830"/>
    <cellStyle name="Note 3 2 6" xfId="8831"/>
    <cellStyle name="Note 3 2 7" xfId="8832"/>
    <cellStyle name="Note 3 3" xfId="8833"/>
    <cellStyle name="Note 3 3 2" xfId="8834"/>
    <cellStyle name="Note 3 3 2 2" xfId="8835"/>
    <cellStyle name="Note 3 3 2 2 2" xfId="8836"/>
    <cellStyle name="Note 3 3 2 3" xfId="8837"/>
    <cellStyle name="Note 3 3 2 3 2" xfId="8838"/>
    <cellStyle name="Note 3 3 2 4" xfId="8839"/>
    <cellStyle name="Note 3 3 3" xfId="8840"/>
    <cellStyle name="Note 3 3 3 2" xfId="8841"/>
    <cellStyle name="Note 3 3 3 2 2" xfId="8842"/>
    <cellStyle name="Note 3 3 3 3" xfId="8843"/>
    <cellStyle name="Note 3 3 4" xfId="8844"/>
    <cellStyle name="Note 3 3 4 2" xfId="8845"/>
    <cellStyle name="Note 3 3 5" xfId="8846"/>
    <cellStyle name="Note 3 4" xfId="8847"/>
    <cellStyle name="Note 3 4 2" xfId="8848"/>
    <cellStyle name="Note 3 4 2 2" xfId="8849"/>
    <cellStyle name="Note 3 4 2 2 2" xfId="8850"/>
    <cellStyle name="Note 3 4 2 3" xfId="8851"/>
    <cellStyle name="Note 3 4 3" xfId="8852"/>
    <cellStyle name="Note 3 4 3 2" xfId="8853"/>
    <cellStyle name="Note 3 4 4" xfId="8854"/>
    <cellStyle name="Note 3 5" xfId="8855"/>
    <cellStyle name="Note 3 5 2" xfId="8856"/>
    <cellStyle name="Note 3 5 2 2" xfId="8857"/>
    <cellStyle name="Note 3 5 2 2 2" xfId="8858"/>
    <cellStyle name="Note 3 5 2 3" xfId="8859"/>
    <cellStyle name="Note 3 5 3" xfId="8860"/>
    <cellStyle name="Note 3 5 3 2" xfId="8861"/>
    <cellStyle name="Note 3 5 4" xfId="8862"/>
    <cellStyle name="Note 3 5 4 2" xfId="8863"/>
    <cellStyle name="Note 3 5 5" xfId="8864"/>
    <cellStyle name="Note 3 6" xfId="8865"/>
    <cellStyle name="Note 3 6 2" xfId="8866"/>
    <cellStyle name="Note 3 6 2 2" xfId="8867"/>
    <cellStyle name="Note 3 6 3" xfId="8868"/>
    <cellStyle name="Note 3 7" xfId="8869"/>
    <cellStyle name="Note 3 7 2" xfId="8870"/>
    <cellStyle name="Note 3 8" xfId="8871"/>
    <cellStyle name="Note 3 9" xfId="8872"/>
    <cellStyle name="Note 4" xfId="8873"/>
    <cellStyle name="Note 4 2" xfId="8874"/>
    <cellStyle name="Note 4 2 2" xfId="8875"/>
    <cellStyle name="Note 4 3" xfId="8876"/>
    <cellStyle name="Note 4 4" xfId="8877"/>
    <cellStyle name="Note 5" xfId="8878"/>
    <cellStyle name="Note 5 2" xfId="8879"/>
    <cellStyle name="Note 6" xfId="8917"/>
    <cellStyle name="Output 2" xfId="8880"/>
    <cellStyle name="Output 2 2" xfId="8962"/>
    <cellStyle name="Output 2 3" xfId="12926"/>
    <cellStyle name="Output 3" xfId="8881"/>
    <cellStyle name="Output 4" xfId="8921"/>
    <cellStyle name="Percent" xfId="1" builtinId="5"/>
    <cellStyle name="Percent 10" xfId="8983"/>
    <cellStyle name="Percent 11" xfId="8963"/>
    <cellStyle name="Percent 2" xfId="10"/>
    <cellStyle name="Percent 2 2" xfId="20"/>
    <cellStyle name="Percent 2 2 2" xfId="8883"/>
    <cellStyle name="Percent 2 3" xfId="8899"/>
    <cellStyle name="Percent 2 3 2" xfId="8964"/>
    <cellStyle name="Percent 2 4" xfId="8882"/>
    <cellStyle name="Percent 2 4 2" xfId="8998"/>
    <cellStyle name="Percent 2 5" xfId="12917"/>
    <cellStyle name="Percent 3" xfId="25"/>
    <cellStyle name="Percent 3 2" xfId="8989"/>
    <cellStyle name="Percent 3 3" xfId="8981"/>
    <cellStyle name="Percent 3 4" xfId="8965"/>
    <cellStyle name="Percent 4" xfId="8895"/>
    <cellStyle name="Percent 4 2" xfId="8966"/>
    <cellStyle name="Percent 5" xfId="8967"/>
    <cellStyle name="Percent 5 2" xfId="9022"/>
    <cellStyle name="Percent 5 3" xfId="9009"/>
    <cellStyle name="Percent 5 3 2" xfId="16848"/>
    <cellStyle name="Percent 6" xfId="8968"/>
    <cellStyle name="Percent 6 2" xfId="8969"/>
    <cellStyle name="Percent 7" xfId="8970"/>
    <cellStyle name="Percent 7 2" xfId="8971"/>
    <cellStyle name="Percent 8" xfId="8972"/>
    <cellStyle name="Percent 9" xfId="8980"/>
    <cellStyle name="Title" xfId="8937" builtinId="15" customBuiltin="1"/>
    <cellStyle name="Title 2" xfId="8885"/>
    <cellStyle name="Title 3" xfId="8922"/>
    <cellStyle name="Title 4" xfId="8884"/>
    <cellStyle name="Total 2" xfId="8886"/>
    <cellStyle name="Total 2 2" xfId="8887"/>
    <cellStyle name="Total 2 2 2" xfId="8925"/>
    <cellStyle name="Total 2 2 3" xfId="9005"/>
    <cellStyle name="Total 2 3" xfId="8888"/>
    <cellStyle name="Total 2 3 2" xfId="9023"/>
    <cellStyle name="Total 2 4" xfId="8911"/>
    <cellStyle name="Total 2 5" xfId="8924"/>
    <cellStyle name="Total 2 6" xfId="8973"/>
    <cellStyle name="Total 2 7" xfId="12933"/>
    <cellStyle name="Total 3" xfId="8889"/>
    <cellStyle name="Total 3 2" xfId="8890"/>
    <cellStyle name="Total 3 3" xfId="8891"/>
    <cellStyle name="Total 3 4" xfId="8926"/>
    <cellStyle name="Total 3 5" xfId="9030"/>
    <cellStyle name="Total 4" xfId="8892"/>
    <cellStyle name="Total 5" xfId="8923"/>
    <cellStyle name="Warning Text 2" xfId="8893"/>
    <cellStyle name="Warning Text 2 2" xfId="8974"/>
    <cellStyle name="Warning Text 2 3" xfId="12930"/>
    <cellStyle name="Warning Text 3" xfId="8894"/>
    <cellStyle name="Warning Text 4" xfId="89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Abunance Indicator - Snake River Natural Origin Spring/summer Chinook at Lower Granite Dam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'T51'!$A$2:$A$13</c:f>
              <c:strCache>
                <c:ptCount val="12"/>
                <c:pt idx="0">
                  <c:v>Baseline (1988-2007)</c:v>
                </c:pt>
                <c:pt idx="1">
                  <c:v>2007-2008</c:v>
                </c:pt>
                <c:pt idx="2">
                  <c:v>2008-2009</c:v>
                </c:pt>
                <c:pt idx="3">
                  <c:v>2009-2010</c:v>
                </c:pt>
                <c:pt idx="4">
                  <c:v>2010-2011</c:v>
                </c:pt>
                <c:pt idx="5">
                  <c:v>2011-2012</c:v>
                </c:pt>
                <c:pt idx="6">
                  <c:v>2012-2013</c:v>
                </c:pt>
                <c:pt idx="7">
                  <c:v>2013-2014</c:v>
                </c:pt>
                <c:pt idx="8">
                  <c:v>2014-2015</c:v>
                </c:pt>
                <c:pt idx="9">
                  <c:v>2015-2016</c:v>
                </c:pt>
                <c:pt idx="10">
                  <c:v>2016-2017</c:v>
                </c:pt>
                <c:pt idx="11">
                  <c:v>2017-2018</c:v>
                </c:pt>
              </c:strCache>
            </c:strRef>
          </c:cat>
          <c:val>
            <c:numRef>
              <c:f>'T49'!$C$2:$C$13</c:f>
              <c:numCache>
                <c:formatCode>0</c:formatCode>
                <c:ptCount val="12"/>
                <c:pt idx="0">
                  <c:v>12100</c:v>
                </c:pt>
                <c:pt idx="1">
                  <c:v>17171</c:v>
                </c:pt>
                <c:pt idx="2">
                  <c:v>14313</c:v>
                </c:pt>
                <c:pt idx="3">
                  <c:v>25211</c:v>
                </c:pt>
                <c:pt idx="4">
                  <c:v>23844</c:v>
                </c:pt>
                <c:pt idx="5">
                  <c:v>24828</c:v>
                </c:pt>
                <c:pt idx="6">
                  <c:v>13916</c:v>
                </c:pt>
                <c:pt idx="7">
                  <c:v>31208</c:v>
                </c:pt>
                <c:pt idx="8">
                  <c:v>21910</c:v>
                </c:pt>
                <c:pt idx="9">
                  <c:v>15946</c:v>
                </c:pt>
                <c:pt idx="10">
                  <c:v>4365</c:v>
                </c:pt>
                <c:pt idx="11">
                  <c:v>6552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A-400C-BDAD-759C848D2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158392"/>
        <c:axId val="565159176"/>
      </c:lineChart>
      <c:catAx>
        <c:axId val="56515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59176"/>
        <c:crosses val="autoZero"/>
        <c:auto val="1"/>
        <c:lblAlgn val="ctr"/>
        <c:lblOffset val="100"/>
        <c:noMultiLvlLbl val="0"/>
      </c:catAx>
      <c:valAx>
        <c:axId val="56515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58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651707470992365E-2"/>
          <c:y val="5.1400554097404488E-2"/>
          <c:w val="0.64373262768383555"/>
          <c:h val="0.79822506561679785"/>
        </c:manualLayout>
      </c:layout>
      <c:lineChart>
        <c:grouping val="standard"/>
        <c:varyColors val="0"/>
        <c:ser>
          <c:idx val="1"/>
          <c:order val="0"/>
          <c:tx>
            <c:v>measured at Rock Isl. Dam</c:v>
          </c:tx>
          <c:spPr>
            <a:ln>
              <a:solidFill>
                <a:prstClr val="black"/>
              </a:solidFill>
            </a:ln>
          </c:spPr>
          <c:marker>
            <c:symbol val="square"/>
            <c:size val="6"/>
            <c:spPr>
              <a:solidFill>
                <a:schemeClr val="bg1">
                  <a:lumMod val="85000"/>
                </a:schemeClr>
              </a:solidFill>
              <a:ln>
                <a:solidFill>
                  <a:prstClr val="black"/>
                </a:solidFill>
              </a:ln>
            </c:spPr>
          </c:marker>
          <c:cat>
            <c:strLit>
              <c:ptCount val="4"/>
              <c:pt idx="0">
                <c:v>Baseline</c:v>
              </c:pt>
              <c:pt idx="1">
                <c:v>2008</c:v>
              </c:pt>
              <c:pt idx="2">
                <c:v>2009</c:v>
              </c:pt>
              <c:pt idx="3">
                <c:v>2010</c:v>
              </c:pt>
            </c:strLit>
          </c:cat>
          <c:val>
            <c:numLit>
              <c:formatCode>General</c:formatCode>
              <c:ptCount val="4"/>
              <c:pt idx="0">
                <c:v>1900</c:v>
              </c:pt>
              <c:pt idx="1">
                <c:v>700</c:v>
              </c:pt>
              <c:pt idx="2">
                <c:v>1000</c:v>
              </c:pt>
              <c:pt idx="3">
                <c:v>2600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25E-48B8-9407-7D8BD8F97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165056"/>
        <c:axId val="565164272"/>
      </c:lineChart>
      <c:catAx>
        <c:axId val="56516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65164272"/>
        <c:crosses val="autoZero"/>
        <c:auto val="1"/>
        <c:lblAlgn val="ctr"/>
        <c:lblOffset val="100"/>
        <c:noMultiLvlLbl val="0"/>
      </c:catAx>
      <c:valAx>
        <c:axId val="56516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65165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243341110139018"/>
          <c:y val="0.63073490813648292"/>
          <c:w val="0.21744009429376887"/>
          <c:h val="0.28084864391951003"/>
        </c:manualLayout>
      </c:layout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Abundance Indicator - Upper Columbia Natural Origin Spring Chinook at Rock Island Dam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'T49'!$A$2:$A$13</c:f>
              <c:strCache>
                <c:ptCount val="12"/>
                <c:pt idx="0">
                  <c:v>Baseline (1988-2007)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strCache>
            </c:strRef>
          </c:cat>
          <c:val>
            <c:numRef>
              <c:f>'T49'!$B$2:$B$13</c:f>
              <c:numCache>
                <c:formatCode>0</c:formatCode>
                <c:ptCount val="12"/>
                <c:pt idx="0">
                  <c:v>1900</c:v>
                </c:pt>
                <c:pt idx="1">
                  <c:v>675</c:v>
                </c:pt>
                <c:pt idx="2">
                  <c:v>1100</c:v>
                </c:pt>
                <c:pt idx="3">
                  <c:v>2476</c:v>
                </c:pt>
                <c:pt idx="4">
                  <c:v>2167</c:v>
                </c:pt>
                <c:pt idx="5">
                  <c:v>4405</c:v>
                </c:pt>
                <c:pt idx="6">
                  <c:v>2517</c:v>
                </c:pt>
                <c:pt idx="7">
                  <c:v>4415</c:v>
                </c:pt>
                <c:pt idx="8">
                  <c:v>6090</c:v>
                </c:pt>
                <c:pt idx="9">
                  <c:v>3764</c:v>
                </c:pt>
                <c:pt idx="10">
                  <c:v>1589</c:v>
                </c:pt>
                <c:pt idx="11">
                  <c:v>1213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3-4D2F-BAA3-94C989843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158000"/>
        <c:axId val="565161136"/>
      </c:lineChart>
      <c:catAx>
        <c:axId val="56515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61136"/>
        <c:crosses val="autoZero"/>
        <c:auto val="1"/>
        <c:lblAlgn val="ctr"/>
        <c:lblOffset val="100"/>
        <c:noMultiLvlLbl val="0"/>
      </c:catAx>
      <c:valAx>
        <c:axId val="5651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5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Abundance</a:t>
            </a:r>
            <a:r>
              <a:rPr lang="en-US" baseline="0"/>
              <a:t> Indicator - Washington Steelhead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Klickitat Steelhead (Redd count)</c:v>
          </c:tx>
          <c:spPr>
            <a:ln w="28575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none"/>
          </c:marker>
          <c:val>
            <c:numRef>
              <c:f>'T52'!$B$2:$B$10</c:f>
              <c:numCache>
                <c:formatCode>0</c:formatCode>
                <c:ptCount val="9"/>
                <c:pt idx="0">
                  <c:v>600</c:v>
                </c:pt>
                <c:pt idx="1">
                  <c:v>1019</c:v>
                </c:pt>
                <c:pt idx="2">
                  <c:v>497</c:v>
                </c:pt>
                <c:pt idx="3">
                  <c:v>294</c:v>
                </c:pt>
                <c:pt idx="4">
                  <c:v>483</c:v>
                </c:pt>
                <c:pt idx="5">
                  <c:v>784</c:v>
                </c:pt>
                <c:pt idx="6">
                  <c:v>400</c:v>
                </c:pt>
                <c:pt idx="7">
                  <c:v>543</c:v>
                </c:pt>
                <c:pt idx="8">
                  <c:v>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D7-4D1C-A167-1ACE754D0D13}"/>
            </c:ext>
          </c:extLst>
        </c:ser>
        <c:ser>
          <c:idx val="0"/>
          <c:order val="1"/>
          <c:tx>
            <c:v>Klickitat Steelhead (mark recapture)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'T51'!$A$2:$A$13</c:f>
              <c:strCache>
                <c:ptCount val="12"/>
                <c:pt idx="0">
                  <c:v>Baseline (1988-2007)</c:v>
                </c:pt>
                <c:pt idx="1">
                  <c:v>2007-2008</c:v>
                </c:pt>
                <c:pt idx="2">
                  <c:v>2008-2009</c:v>
                </c:pt>
                <c:pt idx="3">
                  <c:v>2009-2010</c:v>
                </c:pt>
                <c:pt idx="4">
                  <c:v>2010-2011</c:v>
                </c:pt>
                <c:pt idx="5">
                  <c:v>2011-2012</c:v>
                </c:pt>
                <c:pt idx="6">
                  <c:v>2012-2013</c:v>
                </c:pt>
                <c:pt idx="7">
                  <c:v>2013-2014</c:v>
                </c:pt>
                <c:pt idx="8">
                  <c:v>2014-2015</c:v>
                </c:pt>
                <c:pt idx="9">
                  <c:v>2015-2016</c:v>
                </c:pt>
                <c:pt idx="10">
                  <c:v>2016-2017</c:v>
                </c:pt>
                <c:pt idx="11">
                  <c:v>2017-2018</c:v>
                </c:pt>
              </c:strCache>
            </c:strRef>
          </c:cat>
          <c:val>
            <c:numRef>
              <c:f>'T52'!$C$2:$C$14</c:f>
              <c:numCache>
                <c:formatCode>0</c:formatCode>
                <c:ptCount val="13"/>
                <c:pt idx="3">
                  <c:v>1137</c:v>
                </c:pt>
                <c:pt idx="4">
                  <c:v>979</c:v>
                </c:pt>
                <c:pt idx="5">
                  <c:v>2399</c:v>
                </c:pt>
                <c:pt idx="6">
                  <c:v>999</c:v>
                </c:pt>
                <c:pt idx="7">
                  <c:v>1146</c:v>
                </c:pt>
                <c:pt idx="8">
                  <c:v>2815</c:v>
                </c:pt>
                <c:pt idx="9">
                  <c:v>3202</c:v>
                </c:pt>
                <c:pt idx="10">
                  <c:v>512</c:v>
                </c:pt>
                <c:pt idx="11">
                  <c:v>1725</c:v>
                </c:pt>
                <c:pt idx="12">
                  <c:v>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7-4D1C-A167-1ACE754D0D13}"/>
            </c:ext>
          </c:extLst>
        </c:ser>
        <c:ser>
          <c:idx val="1"/>
          <c:order val="2"/>
          <c:tx>
            <c:v>Methow Steelhead</c:v>
          </c:tx>
          <c:spPr>
            <a:ln w="349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'T51'!$A$2:$A$13</c:f>
              <c:strCache>
                <c:ptCount val="12"/>
                <c:pt idx="0">
                  <c:v>Baseline (1988-2007)</c:v>
                </c:pt>
                <c:pt idx="1">
                  <c:v>2007-2008</c:v>
                </c:pt>
                <c:pt idx="2">
                  <c:v>2008-2009</c:v>
                </c:pt>
                <c:pt idx="3">
                  <c:v>2009-2010</c:v>
                </c:pt>
                <c:pt idx="4">
                  <c:v>2010-2011</c:v>
                </c:pt>
                <c:pt idx="5">
                  <c:v>2011-2012</c:v>
                </c:pt>
                <c:pt idx="6">
                  <c:v>2012-2013</c:v>
                </c:pt>
                <c:pt idx="7">
                  <c:v>2013-2014</c:v>
                </c:pt>
                <c:pt idx="8">
                  <c:v>2014-2015</c:v>
                </c:pt>
                <c:pt idx="9">
                  <c:v>2015-2016</c:v>
                </c:pt>
                <c:pt idx="10">
                  <c:v>2016-2017</c:v>
                </c:pt>
                <c:pt idx="11">
                  <c:v>2017-2018</c:v>
                </c:pt>
              </c:strCache>
            </c:strRef>
          </c:cat>
          <c:val>
            <c:numRef>
              <c:f>'T52'!$D$2:$D$12</c:f>
              <c:numCache>
                <c:formatCode>0</c:formatCode>
                <c:ptCount val="11"/>
                <c:pt idx="0">
                  <c:v>400</c:v>
                </c:pt>
                <c:pt idx="1">
                  <c:v>729</c:v>
                </c:pt>
                <c:pt idx="2">
                  <c:v>656</c:v>
                </c:pt>
                <c:pt idx="3">
                  <c:v>1102</c:v>
                </c:pt>
                <c:pt idx="4">
                  <c:v>987</c:v>
                </c:pt>
                <c:pt idx="5">
                  <c:v>770</c:v>
                </c:pt>
                <c:pt idx="6">
                  <c:v>494</c:v>
                </c:pt>
                <c:pt idx="7">
                  <c:v>1002</c:v>
                </c:pt>
                <c:pt idx="8">
                  <c:v>1113</c:v>
                </c:pt>
                <c:pt idx="9">
                  <c:v>942</c:v>
                </c:pt>
                <c:pt idx="10">
                  <c:v>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7-4D1C-A167-1ACE754D0D13}"/>
            </c:ext>
          </c:extLst>
        </c:ser>
        <c:ser>
          <c:idx val="2"/>
          <c:order val="3"/>
          <c:tx>
            <c:v>Wenatchee Steelhead</c:v>
          </c:tx>
          <c:spPr>
            <a:ln w="349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'T51'!$A$2:$A$13</c:f>
              <c:strCache>
                <c:ptCount val="12"/>
                <c:pt idx="0">
                  <c:v>Baseline (1988-2007)</c:v>
                </c:pt>
                <c:pt idx="1">
                  <c:v>2007-2008</c:v>
                </c:pt>
                <c:pt idx="2">
                  <c:v>2008-2009</c:v>
                </c:pt>
                <c:pt idx="3">
                  <c:v>2009-2010</c:v>
                </c:pt>
                <c:pt idx="4">
                  <c:v>2010-2011</c:v>
                </c:pt>
                <c:pt idx="5">
                  <c:v>2011-2012</c:v>
                </c:pt>
                <c:pt idx="6">
                  <c:v>2012-2013</c:v>
                </c:pt>
                <c:pt idx="7">
                  <c:v>2013-2014</c:v>
                </c:pt>
                <c:pt idx="8">
                  <c:v>2014-2015</c:v>
                </c:pt>
                <c:pt idx="9">
                  <c:v>2015-2016</c:v>
                </c:pt>
                <c:pt idx="10">
                  <c:v>2016-2017</c:v>
                </c:pt>
                <c:pt idx="11">
                  <c:v>2017-2018</c:v>
                </c:pt>
              </c:strCache>
            </c:strRef>
          </c:cat>
          <c:val>
            <c:numRef>
              <c:f>'T52'!$E$2:$E$12</c:f>
              <c:numCache>
                <c:formatCode>0</c:formatCode>
                <c:ptCount val="11"/>
                <c:pt idx="0">
                  <c:v>700</c:v>
                </c:pt>
                <c:pt idx="1">
                  <c:v>714</c:v>
                </c:pt>
                <c:pt idx="2">
                  <c:v>709</c:v>
                </c:pt>
                <c:pt idx="3">
                  <c:v>2237</c:v>
                </c:pt>
                <c:pt idx="4">
                  <c:v>2189</c:v>
                </c:pt>
                <c:pt idx="5">
                  <c:v>1420</c:v>
                </c:pt>
                <c:pt idx="6">
                  <c:v>931</c:v>
                </c:pt>
                <c:pt idx="7">
                  <c:v>1151</c:v>
                </c:pt>
                <c:pt idx="8">
                  <c:v>939</c:v>
                </c:pt>
                <c:pt idx="9">
                  <c:v>367</c:v>
                </c:pt>
                <c:pt idx="10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D7-4D1C-A167-1ACE754D0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161528"/>
        <c:axId val="565156040"/>
      </c:lineChart>
      <c:catAx>
        <c:axId val="56516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56040"/>
        <c:crosses val="autoZero"/>
        <c:auto val="1"/>
        <c:lblAlgn val="ctr"/>
        <c:lblOffset val="100"/>
        <c:noMultiLvlLbl val="0"/>
      </c:catAx>
      <c:valAx>
        <c:axId val="56515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6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Abunadance</a:t>
            </a:r>
            <a:r>
              <a:rPr lang="en-US" baseline="0"/>
              <a:t> Indicator - Oregon Steelhead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strRef>
              <c:f>'T51'!$A$2:$A$13</c:f>
              <c:strCache>
                <c:ptCount val="12"/>
                <c:pt idx="0">
                  <c:v>Baseline (1988-2007)</c:v>
                </c:pt>
                <c:pt idx="1">
                  <c:v>2007-2008</c:v>
                </c:pt>
                <c:pt idx="2">
                  <c:v>2008-2009</c:v>
                </c:pt>
                <c:pt idx="3">
                  <c:v>2009-2010</c:v>
                </c:pt>
                <c:pt idx="4">
                  <c:v>2010-2011</c:v>
                </c:pt>
                <c:pt idx="5">
                  <c:v>2011-2012</c:v>
                </c:pt>
                <c:pt idx="6">
                  <c:v>2012-2013</c:v>
                </c:pt>
                <c:pt idx="7">
                  <c:v>2013-2014</c:v>
                </c:pt>
                <c:pt idx="8">
                  <c:v>2014-2015</c:v>
                </c:pt>
                <c:pt idx="9">
                  <c:v>2015-2016</c:v>
                </c:pt>
                <c:pt idx="10">
                  <c:v>2016-2017</c:v>
                </c:pt>
                <c:pt idx="11">
                  <c:v>2017-2018</c:v>
                </c:pt>
              </c:strCache>
            </c:strRef>
          </c:cat>
          <c:val>
            <c:numRef>
              <c:f>'T51'!$D$2:$D$12</c:f>
              <c:numCache>
                <c:formatCode>0</c:formatCode>
                <c:ptCount val="11"/>
                <c:pt idx="0">
                  <c:v>2400</c:v>
                </c:pt>
                <c:pt idx="1">
                  <c:v>2322</c:v>
                </c:pt>
                <c:pt idx="2">
                  <c:v>3598</c:v>
                </c:pt>
                <c:pt idx="3">
                  <c:v>1831</c:v>
                </c:pt>
                <c:pt idx="4">
                  <c:v>5647</c:v>
                </c:pt>
                <c:pt idx="5">
                  <c:v>1305</c:v>
                </c:pt>
                <c:pt idx="6">
                  <c:v>2149</c:v>
                </c:pt>
                <c:pt idx="7">
                  <c:v>2494</c:v>
                </c:pt>
                <c:pt idx="8">
                  <c:v>2914</c:v>
                </c:pt>
                <c:pt idx="9">
                  <c:v>1595</c:v>
                </c:pt>
                <c:pt idx="10">
                  <c:v>1565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'T51'!#REF!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D6F-4441-A8ED-E0C2042127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'T51'!$A$2:$A$13</c:f>
              <c:strCache>
                <c:ptCount val="12"/>
                <c:pt idx="0">
                  <c:v>Baseline (1988-2007)</c:v>
                </c:pt>
                <c:pt idx="1">
                  <c:v>2007-2008</c:v>
                </c:pt>
                <c:pt idx="2">
                  <c:v>2008-2009</c:v>
                </c:pt>
                <c:pt idx="3">
                  <c:v>2009-2010</c:v>
                </c:pt>
                <c:pt idx="4">
                  <c:v>2010-2011</c:v>
                </c:pt>
                <c:pt idx="5">
                  <c:v>2011-2012</c:v>
                </c:pt>
                <c:pt idx="6">
                  <c:v>2012-2013</c:v>
                </c:pt>
                <c:pt idx="7">
                  <c:v>2013-2014</c:v>
                </c:pt>
                <c:pt idx="8">
                  <c:v>2014-2015</c:v>
                </c:pt>
                <c:pt idx="9">
                  <c:v>2015-2016</c:v>
                </c:pt>
                <c:pt idx="10">
                  <c:v>2016-2017</c:v>
                </c:pt>
                <c:pt idx="11">
                  <c:v>2017-2018</c:v>
                </c:pt>
              </c:strCache>
            </c:strRef>
          </c:cat>
          <c:val>
            <c:numRef>
              <c:f>'T51'!$E$2:$E$12</c:f>
              <c:numCache>
                <c:formatCode>0</c:formatCode>
                <c:ptCount val="11"/>
                <c:pt idx="0">
                  <c:v>4100</c:v>
                </c:pt>
                <c:pt idx="1">
                  <c:v>3482</c:v>
                </c:pt>
                <c:pt idx="2">
                  <c:v>4048</c:v>
                </c:pt>
                <c:pt idx="3">
                  <c:v>4236</c:v>
                </c:pt>
                <c:pt idx="4">
                  <c:v>7257</c:v>
                </c:pt>
                <c:pt idx="5">
                  <c:v>5450</c:v>
                </c:pt>
                <c:pt idx="6">
                  <c:v>3749</c:v>
                </c:pt>
                <c:pt idx="7">
                  <c:v>5450</c:v>
                </c:pt>
                <c:pt idx="8">
                  <c:v>5358</c:v>
                </c:pt>
                <c:pt idx="9">
                  <c:v>2457</c:v>
                </c:pt>
                <c:pt idx="10">
                  <c:v>1196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'T51'!#REF!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D6F-4441-A8ED-E0C20421273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'T51'!$A$2:$A$13</c:f>
              <c:strCache>
                <c:ptCount val="12"/>
                <c:pt idx="0">
                  <c:v>Baseline (1988-2007)</c:v>
                </c:pt>
                <c:pt idx="1">
                  <c:v>2007-2008</c:v>
                </c:pt>
                <c:pt idx="2">
                  <c:v>2008-2009</c:v>
                </c:pt>
                <c:pt idx="3">
                  <c:v>2009-2010</c:v>
                </c:pt>
                <c:pt idx="4">
                  <c:v>2010-2011</c:v>
                </c:pt>
                <c:pt idx="5">
                  <c:v>2011-2012</c:v>
                </c:pt>
                <c:pt idx="6">
                  <c:v>2012-2013</c:v>
                </c:pt>
                <c:pt idx="7">
                  <c:v>2013-2014</c:v>
                </c:pt>
                <c:pt idx="8">
                  <c:v>2014-2015</c:v>
                </c:pt>
                <c:pt idx="9">
                  <c:v>2015-2016</c:v>
                </c:pt>
                <c:pt idx="10">
                  <c:v>2016-2017</c:v>
                </c:pt>
                <c:pt idx="11">
                  <c:v>2017-2018</c:v>
                </c:pt>
              </c:strCache>
            </c:strRef>
          </c:cat>
          <c:val>
            <c:numRef>
              <c:f>'T51'!$F$2:$F$13</c:f>
              <c:numCache>
                <c:formatCode>0</c:formatCode>
                <c:ptCount val="12"/>
                <c:pt idx="0">
                  <c:v>6582</c:v>
                </c:pt>
                <c:pt idx="1">
                  <c:v>5109</c:v>
                </c:pt>
                <c:pt idx="2">
                  <c:v>12923</c:v>
                </c:pt>
                <c:pt idx="3">
                  <c:v>7791</c:v>
                </c:pt>
                <c:pt idx="4">
                  <c:v>12420</c:v>
                </c:pt>
                <c:pt idx="5">
                  <c:v>16335</c:v>
                </c:pt>
                <c:pt idx="6">
                  <c:v>11680</c:v>
                </c:pt>
                <c:pt idx="7">
                  <c:v>14761</c:v>
                </c:pt>
                <c:pt idx="8">
                  <c:v>10482</c:v>
                </c:pt>
                <c:pt idx="9">
                  <c:v>5399</c:v>
                </c:pt>
                <c:pt idx="10">
                  <c:v>3688</c:v>
                </c:pt>
                <c:pt idx="11">
                  <c:v>5034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'T51'!#REF!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D6F-4441-A8ED-E0C20421273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'T51'!$A$2:$A$13</c:f>
              <c:strCache>
                <c:ptCount val="12"/>
                <c:pt idx="0">
                  <c:v>Baseline (1988-2007)</c:v>
                </c:pt>
                <c:pt idx="1">
                  <c:v>2007-2008</c:v>
                </c:pt>
                <c:pt idx="2">
                  <c:v>2008-2009</c:v>
                </c:pt>
                <c:pt idx="3">
                  <c:v>2009-2010</c:v>
                </c:pt>
                <c:pt idx="4">
                  <c:v>2010-2011</c:v>
                </c:pt>
                <c:pt idx="5">
                  <c:v>2011-2012</c:v>
                </c:pt>
                <c:pt idx="6">
                  <c:v>2012-2013</c:v>
                </c:pt>
                <c:pt idx="7">
                  <c:v>2013-2014</c:v>
                </c:pt>
                <c:pt idx="8">
                  <c:v>2014-2015</c:v>
                </c:pt>
                <c:pt idx="9">
                  <c:v>2015-2016</c:v>
                </c:pt>
                <c:pt idx="10">
                  <c:v>2016-2017</c:v>
                </c:pt>
                <c:pt idx="11">
                  <c:v>2017-2018</c:v>
                </c:pt>
              </c:strCache>
            </c:strRef>
          </c:cat>
          <c:val>
            <c:numRef>
              <c:f>'T51'!$G$2:$G$12</c:f>
              <c:numCache>
                <c:formatCode>0</c:formatCode>
                <c:ptCount val="11"/>
                <c:pt idx="0">
                  <c:v>1600</c:v>
                </c:pt>
                <c:pt idx="1">
                  <c:v>2232</c:v>
                </c:pt>
                <c:pt idx="2">
                  <c:v>2515</c:v>
                </c:pt>
                <c:pt idx="3">
                  <c:v>3895</c:v>
                </c:pt>
                <c:pt idx="4">
                  <c:v>4031</c:v>
                </c:pt>
                <c:pt idx="5">
                  <c:v>3297</c:v>
                </c:pt>
                <c:pt idx="6">
                  <c:v>2507</c:v>
                </c:pt>
                <c:pt idx="7">
                  <c:v>2748</c:v>
                </c:pt>
                <c:pt idx="8">
                  <c:v>5270</c:v>
                </c:pt>
                <c:pt idx="9">
                  <c:v>3757</c:v>
                </c:pt>
                <c:pt idx="10">
                  <c:v>1641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'T51'!#REF!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0D6F-4441-A8ED-E0C204212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158784"/>
        <c:axId val="565153688"/>
      </c:lineChart>
      <c:catAx>
        <c:axId val="56515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53688"/>
        <c:crosses val="autoZero"/>
        <c:auto val="1"/>
        <c:lblAlgn val="ctr"/>
        <c:lblOffset val="100"/>
        <c:noMultiLvlLbl val="0"/>
      </c:catAx>
      <c:valAx>
        <c:axId val="56515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5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Abundance</a:t>
            </a:r>
            <a:r>
              <a:rPr lang="en-US" baseline="0"/>
              <a:t> Indicator _ Natural Origin Steelhead at Lower Granite Dam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'T51'!$A$2:$A$13</c:f>
              <c:strCache>
                <c:ptCount val="12"/>
                <c:pt idx="0">
                  <c:v>Baseline (1988-2007)</c:v>
                </c:pt>
                <c:pt idx="1">
                  <c:v>2007-2008</c:v>
                </c:pt>
                <c:pt idx="2">
                  <c:v>2008-2009</c:v>
                </c:pt>
                <c:pt idx="3">
                  <c:v>2009-2010</c:v>
                </c:pt>
                <c:pt idx="4">
                  <c:v>2010-2011</c:v>
                </c:pt>
                <c:pt idx="5">
                  <c:v>2011-2012</c:v>
                </c:pt>
                <c:pt idx="6">
                  <c:v>2012-2013</c:v>
                </c:pt>
                <c:pt idx="7">
                  <c:v>2013-2014</c:v>
                </c:pt>
                <c:pt idx="8">
                  <c:v>2014-2015</c:v>
                </c:pt>
                <c:pt idx="9">
                  <c:v>2015-2016</c:v>
                </c:pt>
                <c:pt idx="10">
                  <c:v>2016-2017</c:v>
                </c:pt>
                <c:pt idx="11">
                  <c:v>2017-2018</c:v>
                </c:pt>
              </c:strCache>
            </c:strRef>
          </c:cat>
          <c:val>
            <c:numRef>
              <c:f>'T51'!$B$2:$B$13</c:f>
              <c:numCache>
                <c:formatCode>0</c:formatCode>
                <c:ptCount val="12"/>
                <c:pt idx="0">
                  <c:v>13788</c:v>
                </c:pt>
                <c:pt idx="1">
                  <c:v>11242</c:v>
                </c:pt>
                <c:pt idx="2">
                  <c:v>18217</c:v>
                </c:pt>
                <c:pt idx="3">
                  <c:v>38210</c:v>
                </c:pt>
                <c:pt idx="4">
                  <c:v>34549</c:v>
                </c:pt>
                <c:pt idx="5">
                  <c:v>35241</c:v>
                </c:pt>
                <c:pt idx="6">
                  <c:v>19806</c:v>
                </c:pt>
                <c:pt idx="7">
                  <c:v>23469</c:v>
                </c:pt>
                <c:pt idx="8">
                  <c:v>38861</c:v>
                </c:pt>
                <c:pt idx="9">
                  <c:v>30806</c:v>
                </c:pt>
                <c:pt idx="10">
                  <c:v>12575</c:v>
                </c:pt>
                <c:pt idx="11">
                  <c:v>10454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'T51'!#REF!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1D9-41BC-9305-E5B43C53530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'T51'!$A$2:$A$13</c:f>
              <c:strCache>
                <c:ptCount val="12"/>
                <c:pt idx="0">
                  <c:v>Baseline (1988-2007)</c:v>
                </c:pt>
                <c:pt idx="1">
                  <c:v>2007-2008</c:v>
                </c:pt>
                <c:pt idx="2">
                  <c:v>2008-2009</c:v>
                </c:pt>
                <c:pt idx="3">
                  <c:v>2009-2010</c:v>
                </c:pt>
                <c:pt idx="4">
                  <c:v>2010-2011</c:v>
                </c:pt>
                <c:pt idx="5">
                  <c:v>2011-2012</c:v>
                </c:pt>
                <c:pt idx="6">
                  <c:v>2012-2013</c:v>
                </c:pt>
                <c:pt idx="7">
                  <c:v>2013-2014</c:v>
                </c:pt>
                <c:pt idx="8">
                  <c:v>2014-2015</c:v>
                </c:pt>
                <c:pt idx="9">
                  <c:v>2015-2016</c:v>
                </c:pt>
                <c:pt idx="10">
                  <c:v>2016-2017</c:v>
                </c:pt>
                <c:pt idx="11">
                  <c:v>2017-2018</c:v>
                </c:pt>
              </c:strCache>
            </c:strRef>
          </c:cat>
          <c:val>
            <c:numRef>
              <c:f>'T51'!$C$2:$C$13</c:f>
              <c:numCache>
                <c:formatCode>0</c:formatCode>
                <c:ptCount val="12"/>
                <c:pt idx="0">
                  <c:v>3922</c:v>
                </c:pt>
                <c:pt idx="1">
                  <c:v>2924</c:v>
                </c:pt>
                <c:pt idx="2">
                  <c:v>5659</c:v>
                </c:pt>
                <c:pt idx="3">
                  <c:v>4529</c:v>
                </c:pt>
                <c:pt idx="4">
                  <c:v>9584</c:v>
                </c:pt>
                <c:pt idx="5">
                  <c:v>4198</c:v>
                </c:pt>
                <c:pt idx="6">
                  <c:v>3337</c:v>
                </c:pt>
                <c:pt idx="7">
                  <c:v>1886</c:v>
                </c:pt>
                <c:pt idx="8">
                  <c:v>6928</c:v>
                </c:pt>
                <c:pt idx="9">
                  <c:v>3130</c:v>
                </c:pt>
                <c:pt idx="10">
                  <c:v>3001</c:v>
                </c:pt>
                <c:pt idx="11">
                  <c:v>263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'T51'!#REF!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1D9-41BC-9305-E5B43C535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156432"/>
        <c:axId val="565156824"/>
      </c:lineChart>
      <c:catAx>
        <c:axId val="5651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56824"/>
        <c:crosses val="autoZero"/>
        <c:auto val="1"/>
        <c:lblAlgn val="ctr"/>
        <c:lblOffset val="100"/>
        <c:noMultiLvlLbl val="0"/>
      </c:catAx>
      <c:valAx>
        <c:axId val="56515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5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Abundance</a:t>
            </a:r>
            <a:r>
              <a:rPr lang="en-US" baseline="0"/>
              <a:t> Indicator - Natural Origin Fall Chinook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'T49'!$A$2:$A$13</c:f>
              <c:strCache>
                <c:ptCount val="12"/>
                <c:pt idx="0">
                  <c:v>Baseline (1988-2007)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strCache>
            </c:strRef>
          </c:cat>
          <c:val>
            <c:numRef>
              <c:f>'T50'!$G$2:$G$13</c:f>
              <c:numCache>
                <c:formatCode>0</c:formatCode>
                <c:ptCount val="12"/>
                <c:pt idx="0">
                  <c:v>2003</c:v>
                </c:pt>
                <c:pt idx="1">
                  <c:v>3930</c:v>
                </c:pt>
                <c:pt idx="2">
                  <c:v>4977</c:v>
                </c:pt>
                <c:pt idx="3">
                  <c:v>7995</c:v>
                </c:pt>
                <c:pt idx="4">
                  <c:v>8778</c:v>
                </c:pt>
                <c:pt idx="5">
                  <c:v>12797</c:v>
                </c:pt>
                <c:pt idx="6">
                  <c:v>21124</c:v>
                </c:pt>
                <c:pt idx="7">
                  <c:v>14172</c:v>
                </c:pt>
                <c:pt idx="8">
                  <c:v>16212</c:v>
                </c:pt>
                <c:pt idx="9">
                  <c:v>9772</c:v>
                </c:pt>
                <c:pt idx="10">
                  <c:v>6966</c:v>
                </c:pt>
                <c:pt idx="11">
                  <c:v>6133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'T50'!#REF!</c15:sqref>
                        </c15:formulaRef>
                      </c:ext>
                    </c:extLst>
                    <c:strCache>
                      <c:ptCount val="1"/>
                      <c:pt idx="0">
                        <c:v>Snake River natural origin fall Chinook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278-4AF7-B5B4-857A7319A56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'T49'!$A$2:$A$13</c:f>
              <c:strCache>
                <c:ptCount val="12"/>
                <c:pt idx="0">
                  <c:v>Baseline (1988-2007)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strCache>
            </c:strRef>
          </c:cat>
          <c:val>
            <c:numRef>
              <c:f>'T50'!$H$2:$H$13</c:f>
              <c:numCache>
                <c:formatCode>0</c:formatCode>
                <c:ptCount val="12"/>
                <c:pt idx="0">
                  <c:v>9893</c:v>
                </c:pt>
                <c:pt idx="1">
                  <c:v>6908</c:v>
                </c:pt>
                <c:pt idx="2">
                  <c:v>6429</c:v>
                </c:pt>
                <c:pt idx="3">
                  <c:v>9275</c:v>
                </c:pt>
                <c:pt idx="4">
                  <c:v>17117</c:v>
                </c:pt>
                <c:pt idx="5">
                  <c:v>17624</c:v>
                </c:pt>
                <c:pt idx="6">
                  <c:v>18068</c:v>
                </c:pt>
                <c:pt idx="7">
                  <c:v>17993</c:v>
                </c:pt>
                <c:pt idx="8">
                  <c:v>17074</c:v>
                </c:pt>
                <c:pt idx="9">
                  <c:v>11628</c:v>
                </c:pt>
                <c:pt idx="10">
                  <c:v>4943</c:v>
                </c:pt>
                <c:pt idx="11">
                  <c:v>4157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'T50'!#REF!</c15:sqref>
                        </c15:formulaRef>
                      </c:ext>
                    </c:extLst>
                    <c:strCache>
                      <c:ptCount val="1"/>
                      <c:pt idx="0">
                        <c:v>Deschutes river natural-origin fall Chinook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278-4AF7-B5B4-857A7319A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159960"/>
        <c:axId val="565160352"/>
      </c:lineChart>
      <c:catAx>
        <c:axId val="56515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60352"/>
        <c:crosses val="autoZero"/>
        <c:auto val="1"/>
        <c:lblAlgn val="ctr"/>
        <c:lblOffset val="100"/>
        <c:noMultiLvlLbl val="0"/>
      </c:catAx>
      <c:valAx>
        <c:axId val="5651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5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Abundance Indicator - Terminal Sockeye Run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'T49'!$A$2:$A$13</c:f>
              <c:strCache>
                <c:ptCount val="12"/>
                <c:pt idx="0">
                  <c:v>Baseline (1988-2007)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strCache>
            </c:strRef>
          </c:cat>
          <c:val>
            <c:numRef>
              <c:f>'T50'!$B$2:$B$13</c:f>
              <c:numCache>
                <c:formatCode>0</c:formatCode>
                <c:ptCount val="12"/>
                <c:pt idx="0">
                  <c:v>40</c:v>
                </c:pt>
                <c:pt idx="1">
                  <c:v>909</c:v>
                </c:pt>
                <c:pt idx="2">
                  <c:v>1406</c:v>
                </c:pt>
                <c:pt idx="3">
                  <c:v>2406</c:v>
                </c:pt>
                <c:pt idx="4">
                  <c:v>1502</c:v>
                </c:pt>
                <c:pt idx="5">
                  <c:v>470</c:v>
                </c:pt>
                <c:pt idx="6">
                  <c:v>757</c:v>
                </c:pt>
                <c:pt idx="7">
                  <c:v>2786</c:v>
                </c:pt>
                <c:pt idx="8">
                  <c:v>440</c:v>
                </c:pt>
                <c:pt idx="9">
                  <c:v>816</c:v>
                </c:pt>
                <c:pt idx="10">
                  <c:v>228</c:v>
                </c:pt>
                <c:pt idx="11">
                  <c:v>213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'T50'!#REF!</c15:sqref>
                        </c15:formulaRef>
                      </c:ext>
                    </c:extLst>
                    <c:strCache>
                      <c:ptCount val="1"/>
                      <c:pt idx="0">
                        <c:v>Snake River sockeye natural and hatchery origin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7C1-4202-AD39-7696A47B6F5E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'T49'!$A$2:$A$13</c:f>
              <c:strCache>
                <c:ptCount val="12"/>
                <c:pt idx="0">
                  <c:v>Baseline (1988-2007)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strCache>
            </c:strRef>
          </c:cat>
          <c:val>
            <c:numRef>
              <c:f>'T50'!$D$2:$D$13</c:f>
              <c:numCache>
                <c:formatCode>0</c:formatCode>
                <c:ptCount val="12"/>
                <c:pt idx="0">
                  <c:v>18400</c:v>
                </c:pt>
                <c:pt idx="1">
                  <c:v>32396</c:v>
                </c:pt>
                <c:pt idx="2">
                  <c:v>29724</c:v>
                </c:pt>
                <c:pt idx="3">
                  <c:v>42672</c:v>
                </c:pt>
                <c:pt idx="4">
                  <c:v>18634</c:v>
                </c:pt>
                <c:pt idx="5">
                  <c:v>47306</c:v>
                </c:pt>
                <c:pt idx="6">
                  <c:v>29229</c:v>
                </c:pt>
                <c:pt idx="7">
                  <c:v>99888</c:v>
                </c:pt>
                <c:pt idx="8">
                  <c:v>51533</c:v>
                </c:pt>
                <c:pt idx="9">
                  <c:v>74416</c:v>
                </c:pt>
                <c:pt idx="10">
                  <c:v>26517</c:v>
                </c:pt>
                <c:pt idx="11">
                  <c:v>13962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'T50'!#REF!</c15:sqref>
                        </c15:formulaRef>
                      </c:ext>
                    </c:extLst>
                    <c:strCache>
                      <c:ptCount val="1"/>
                      <c:pt idx="0">
                        <c:v>Lake Wenatchee natural and hatchery origin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7C1-4202-AD39-7696A47B6F5E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'T49'!$A$2:$A$13</c:f>
              <c:strCache>
                <c:ptCount val="12"/>
                <c:pt idx="0">
                  <c:v>Baseline (1988-2007)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strCache>
            </c:strRef>
          </c:cat>
          <c:val>
            <c:numRef>
              <c:f>'T50'!$E$2:$E$13</c:f>
              <c:numCache>
                <c:formatCode>0</c:formatCode>
                <c:ptCount val="12"/>
                <c:pt idx="0">
                  <c:v>28500</c:v>
                </c:pt>
                <c:pt idx="1">
                  <c:v>165334</c:v>
                </c:pt>
                <c:pt idx="2">
                  <c:v>134937</c:v>
                </c:pt>
                <c:pt idx="3">
                  <c:v>291764</c:v>
                </c:pt>
                <c:pt idx="4">
                  <c:v>111508</c:v>
                </c:pt>
                <c:pt idx="5">
                  <c:v>326107</c:v>
                </c:pt>
                <c:pt idx="6">
                  <c:v>129993</c:v>
                </c:pt>
                <c:pt idx="7">
                  <c:v>490804</c:v>
                </c:pt>
                <c:pt idx="8">
                  <c:v>187055</c:v>
                </c:pt>
                <c:pt idx="9">
                  <c:v>216036</c:v>
                </c:pt>
                <c:pt idx="10">
                  <c:v>42299</c:v>
                </c:pt>
                <c:pt idx="11">
                  <c:v>153637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'T50'!#REF!</c15:sqref>
                        </c15:formulaRef>
                      </c:ext>
                    </c:extLst>
                    <c:strCache>
                      <c:ptCount val="1"/>
                      <c:pt idx="0">
                        <c:v>Okanogan natural and hatchery origin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87C1-4202-AD39-7696A47B6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161920"/>
        <c:axId val="565162312"/>
      </c:lineChart>
      <c:catAx>
        <c:axId val="56516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62312"/>
        <c:crosses val="autoZero"/>
        <c:auto val="1"/>
        <c:lblAlgn val="ctr"/>
        <c:lblOffset val="100"/>
        <c:noMultiLvlLbl val="0"/>
      </c:catAx>
      <c:valAx>
        <c:axId val="56516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6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Abundance</a:t>
            </a:r>
            <a:r>
              <a:rPr lang="en-US" baseline="0"/>
              <a:t> Indicator - Washington Steelhead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Klickitat Steelhead (Redd count)</c:v>
          </c:tx>
          <c:spPr>
            <a:ln w="28575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none"/>
          </c:marker>
          <c:val>
            <c:numRef>
              <c:f>'T52'!$B$2:$B$10</c:f>
              <c:numCache>
                <c:formatCode>0</c:formatCode>
                <c:ptCount val="9"/>
                <c:pt idx="0">
                  <c:v>600</c:v>
                </c:pt>
                <c:pt idx="1">
                  <c:v>1019</c:v>
                </c:pt>
                <c:pt idx="2">
                  <c:v>497</c:v>
                </c:pt>
                <c:pt idx="3">
                  <c:v>294</c:v>
                </c:pt>
                <c:pt idx="4">
                  <c:v>483</c:v>
                </c:pt>
                <c:pt idx="5">
                  <c:v>784</c:v>
                </c:pt>
                <c:pt idx="6">
                  <c:v>400</c:v>
                </c:pt>
                <c:pt idx="7">
                  <c:v>543</c:v>
                </c:pt>
                <c:pt idx="8">
                  <c:v>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D7-4D1C-A167-1ACE754D0D13}"/>
            </c:ext>
          </c:extLst>
        </c:ser>
        <c:ser>
          <c:idx val="0"/>
          <c:order val="1"/>
          <c:tx>
            <c:v>Klickitat Steelhead (mark recapture)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'T51'!$A$2:$A$13</c:f>
              <c:strCache>
                <c:ptCount val="12"/>
                <c:pt idx="0">
                  <c:v>Baseline (1988-2007)</c:v>
                </c:pt>
                <c:pt idx="1">
                  <c:v>2007-2008</c:v>
                </c:pt>
                <c:pt idx="2">
                  <c:v>2008-2009</c:v>
                </c:pt>
                <c:pt idx="3">
                  <c:v>2009-2010</c:v>
                </c:pt>
                <c:pt idx="4">
                  <c:v>2010-2011</c:v>
                </c:pt>
                <c:pt idx="5">
                  <c:v>2011-2012</c:v>
                </c:pt>
                <c:pt idx="6">
                  <c:v>2012-2013</c:v>
                </c:pt>
                <c:pt idx="7">
                  <c:v>2013-2014</c:v>
                </c:pt>
                <c:pt idx="8">
                  <c:v>2014-2015</c:v>
                </c:pt>
                <c:pt idx="9">
                  <c:v>2015-2016</c:v>
                </c:pt>
                <c:pt idx="10">
                  <c:v>2016-2017</c:v>
                </c:pt>
                <c:pt idx="11">
                  <c:v>2017-2018</c:v>
                </c:pt>
              </c:strCache>
            </c:strRef>
          </c:cat>
          <c:val>
            <c:numRef>
              <c:f>'T52'!$C$2:$C$14</c:f>
              <c:numCache>
                <c:formatCode>0</c:formatCode>
                <c:ptCount val="13"/>
                <c:pt idx="3">
                  <c:v>1137</c:v>
                </c:pt>
                <c:pt idx="4">
                  <c:v>979</c:v>
                </c:pt>
                <c:pt idx="5">
                  <c:v>2399</c:v>
                </c:pt>
                <c:pt idx="6">
                  <c:v>999</c:v>
                </c:pt>
                <c:pt idx="7">
                  <c:v>1146</c:v>
                </c:pt>
                <c:pt idx="8">
                  <c:v>2815</c:v>
                </c:pt>
                <c:pt idx="9">
                  <c:v>3202</c:v>
                </c:pt>
                <c:pt idx="10">
                  <c:v>512</c:v>
                </c:pt>
                <c:pt idx="11">
                  <c:v>1725</c:v>
                </c:pt>
                <c:pt idx="12">
                  <c:v>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7-4D1C-A167-1ACE754D0D13}"/>
            </c:ext>
          </c:extLst>
        </c:ser>
        <c:ser>
          <c:idx val="1"/>
          <c:order val="2"/>
          <c:tx>
            <c:v>Methow Steelhead</c:v>
          </c:tx>
          <c:spPr>
            <a:ln w="349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'T51'!$A$2:$A$13</c:f>
              <c:strCache>
                <c:ptCount val="12"/>
                <c:pt idx="0">
                  <c:v>Baseline (1988-2007)</c:v>
                </c:pt>
                <c:pt idx="1">
                  <c:v>2007-2008</c:v>
                </c:pt>
                <c:pt idx="2">
                  <c:v>2008-2009</c:v>
                </c:pt>
                <c:pt idx="3">
                  <c:v>2009-2010</c:v>
                </c:pt>
                <c:pt idx="4">
                  <c:v>2010-2011</c:v>
                </c:pt>
                <c:pt idx="5">
                  <c:v>2011-2012</c:v>
                </c:pt>
                <c:pt idx="6">
                  <c:v>2012-2013</c:v>
                </c:pt>
                <c:pt idx="7">
                  <c:v>2013-2014</c:v>
                </c:pt>
                <c:pt idx="8">
                  <c:v>2014-2015</c:v>
                </c:pt>
                <c:pt idx="9">
                  <c:v>2015-2016</c:v>
                </c:pt>
                <c:pt idx="10">
                  <c:v>2016-2017</c:v>
                </c:pt>
                <c:pt idx="11">
                  <c:v>2017-2018</c:v>
                </c:pt>
              </c:strCache>
            </c:strRef>
          </c:cat>
          <c:val>
            <c:numRef>
              <c:f>'T52'!$D$2:$D$12</c:f>
              <c:numCache>
                <c:formatCode>0</c:formatCode>
                <c:ptCount val="11"/>
                <c:pt idx="0">
                  <c:v>400</c:v>
                </c:pt>
                <c:pt idx="1">
                  <c:v>729</c:v>
                </c:pt>
                <c:pt idx="2">
                  <c:v>656</c:v>
                </c:pt>
                <c:pt idx="3">
                  <c:v>1102</c:v>
                </c:pt>
                <c:pt idx="4">
                  <c:v>987</c:v>
                </c:pt>
                <c:pt idx="5">
                  <c:v>770</c:v>
                </c:pt>
                <c:pt idx="6">
                  <c:v>494</c:v>
                </c:pt>
                <c:pt idx="7">
                  <c:v>1002</c:v>
                </c:pt>
                <c:pt idx="8">
                  <c:v>1113</c:v>
                </c:pt>
                <c:pt idx="9">
                  <c:v>942</c:v>
                </c:pt>
                <c:pt idx="10">
                  <c:v>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7-4D1C-A167-1ACE754D0D13}"/>
            </c:ext>
          </c:extLst>
        </c:ser>
        <c:ser>
          <c:idx val="2"/>
          <c:order val="3"/>
          <c:tx>
            <c:v>Wenatchee Steelhead</c:v>
          </c:tx>
          <c:spPr>
            <a:ln w="349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'T51'!$A$2:$A$13</c:f>
              <c:strCache>
                <c:ptCount val="12"/>
                <c:pt idx="0">
                  <c:v>Baseline (1988-2007)</c:v>
                </c:pt>
                <c:pt idx="1">
                  <c:v>2007-2008</c:v>
                </c:pt>
                <c:pt idx="2">
                  <c:v>2008-2009</c:v>
                </c:pt>
                <c:pt idx="3">
                  <c:v>2009-2010</c:v>
                </c:pt>
                <c:pt idx="4">
                  <c:v>2010-2011</c:v>
                </c:pt>
                <c:pt idx="5">
                  <c:v>2011-2012</c:v>
                </c:pt>
                <c:pt idx="6">
                  <c:v>2012-2013</c:v>
                </c:pt>
                <c:pt idx="7">
                  <c:v>2013-2014</c:v>
                </c:pt>
                <c:pt idx="8">
                  <c:v>2014-2015</c:v>
                </c:pt>
                <c:pt idx="9">
                  <c:v>2015-2016</c:v>
                </c:pt>
                <c:pt idx="10">
                  <c:v>2016-2017</c:v>
                </c:pt>
                <c:pt idx="11">
                  <c:v>2017-2018</c:v>
                </c:pt>
              </c:strCache>
            </c:strRef>
          </c:cat>
          <c:val>
            <c:numRef>
              <c:f>'T52'!$E$2:$E$12</c:f>
              <c:numCache>
                <c:formatCode>0</c:formatCode>
                <c:ptCount val="11"/>
                <c:pt idx="0">
                  <c:v>700</c:v>
                </c:pt>
                <c:pt idx="1">
                  <c:v>714</c:v>
                </c:pt>
                <c:pt idx="2">
                  <c:v>709</c:v>
                </c:pt>
                <c:pt idx="3">
                  <c:v>2237</c:v>
                </c:pt>
                <c:pt idx="4">
                  <c:v>2189</c:v>
                </c:pt>
                <c:pt idx="5">
                  <c:v>1420</c:v>
                </c:pt>
                <c:pt idx="6">
                  <c:v>931</c:v>
                </c:pt>
                <c:pt idx="7">
                  <c:v>1151</c:v>
                </c:pt>
                <c:pt idx="8">
                  <c:v>939</c:v>
                </c:pt>
                <c:pt idx="9">
                  <c:v>367</c:v>
                </c:pt>
                <c:pt idx="10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D7-4D1C-A167-1ACE754D0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161528"/>
        <c:axId val="565156040"/>
      </c:lineChart>
      <c:catAx>
        <c:axId val="56516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56040"/>
        <c:crosses val="autoZero"/>
        <c:auto val="1"/>
        <c:lblAlgn val="ctr"/>
        <c:lblOffset val="100"/>
        <c:noMultiLvlLbl val="0"/>
      </c:catAx>
      <c:valAx>
        <c:axId val="56515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6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651707470992365E-2"/>
          <c:y val="5.1400554097404488E-2"/>
          <c:w val="0.69018426890187112"/>
          <c:h val="0.79822506561679785"/>
        </c:manualLayout>
      </c:layout>
      <c:lineChart>
        <c:grouping val="standard"/>
        <c:varyColors val="0"/>
        <c:ser>
          <c:idx val="1"/>
          <c:order val="0"/>
          <c:tx>
            <c:v>At Lower Granite Dam</c:v>
          </c:tx>
          <c:spPr>
            <a:ln>
              <a:solidFill>
                <a:prstClr val="black"/>
              </a:solidFill>
            </a:ln>
          </c:spPr>
          <c:marker>
            <c:symbol val="square"/>
            <c:size val="6"/>
            <c:spPr>
              <a:solidFill>
                <a:schemeClr val="bg1">
                  <a:lumMod val="85000"/>
                </a:schemeClr>
              </a:solidFill>
              <a:ln>
                <a:solidFill>
                  <a:prstClr val="black"/>
                </a:solidFill>
              </a:ln>
            </c:spPr>
          </c:marker>
          <c:cat>
            <c:strLit>
              <c:ptCount val="4"/>
              <c:pt idx="0">
                <c:v>Baseline</c:v>
              </c:pt>
              <c:pt idx="1">
                <c:v>2008</c:v>
              </c:pt>
              <c:pt idx="2">
                <c:v>2009</c:v>
              </c:pt>
              <c:pt idx="3">
                <c:v>2010</c:v>
              </c:pt>
            </c:strLit>
          </c:cat>
          <c:val>
            <c:numLit>
              <c:formatCode>General</c:formatCode>
              <c:ptCount val="4"/>
              <c:pt idx="0">
                <c:v>12100</c:v>
              </c:pt>
              <c:pt idx="1">
                <c:v>17200</c:v>
              </c:pt>
              <c:pt idx="2">
                <c:v>14300</c:v>
              </c:pt>
              <c:pt idx="3">
                <c:v>25200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5E0-4FDF-BFB1-4643CBE9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157216"/>
        <c:axId val="565162704"/>
      </c:lineChart>
      <c:catAx>
        <c:axId val="56515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65162704"/>
        <c:crosses val="autoZero"/>
        <c:auto val="1"/>
        <c:lblAlgn val="ctr"/>
        <c:lblOffset val="100"/>
        <c:noMultiLvlLbl val="0"/>
      </c:catAx>
      <c:valAx>
        <c:axId val="56516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65157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243341110139018"/>
          <c:y val="0.63073490813648292"/>
          <c:w val="0.21744009429376887"/>
          <c:h val="0.28084864391951003"/>
        </c:manualLayout>
      </c:layout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</xdr:colOff>
      <xdr:row>2</xdr:row>
      <xdr:rowOff>76200</xdr:rowOff>
    </xdr:from>
    <xdr:to>
      <xdr:col>9</xdr:col>
      <xdr:colOff>328612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604837</xdr:colOff>
      <xdr:row>22</xdr:row>
      <xdr:rowOff>57150</xdr:rowOff>
    </xdr:from>
    <xdr:to>
      <xdr:col>9</xdr:col>
      <xdr:colOff>300037</xdr:colOff>
      <xdr:row>39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423861</xdr:colOff>
      <xdr:row>2</xdr:row>
      <xdr:rowOff>133349</xdr:rowOff>
    </xdr:from>
    <xdr:to>
      <xdr:col>18</xdr:col>
      <xdr:colOff>219074</xdr:colOff>
      <xdr:row>21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3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314324</xdr:colOff>
      <xdr:row>23</xdr:row>
      <xdr:rowOff>57150</xdr:rowOff>
    </xdr:from>
    <xdr:to>
      <xdr:col>19</xdr:col>
      <xdr:colOff>266699</xdr:colOff>
      <xdr:row>41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3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104775</xdr:colOff>
      <xdr:row>45</xdr:row>
      <xdr:rowOff>66674</xdr:rowOff>
    </xdr:from>
    <xdr:to>
      <xdr:col>9</xdr:col>
      <xdr:colOff>447675</xdr:colOff>
      <xdr:row>65</xdr:row>
      <xdr:rowOff>38099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3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514350</xdr:colOff>
      <xdr:row>46</xdr:row>
      <xdr:rowOff>114300</xdr:rowOff>
    </xdr:from>
    <xdr:to>
      <xdr:col>18</xdr:col>
      <xdr:colOff>209550</xdr:colOff>
      <xdr:row>63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3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190500</xdr:colOff>
      <xdr:row>69</xdr:row>
      <xdr:rowOff>28575</xdr:rowOff>
    </xdr:from>
    <xdr:to>
      <xdr:col>9</xdr:col>
      <xdr:colOff>495300</xdr:colOff>
      <xdr:row>86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3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153351</xdr:colOff>
      <xdr:row>9</xdr:row>
      <xdr:rowOff>36194</xdr:rowOff>
    </xdr:from>
    <xdr:to>
      <xdr:col>20</xdr:col>
      <xdr:colOff>527684</xdr:colOff>
      <xdr:row>27</xdr:row>
      <xdr:rowOff>76199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C93D876-0125-4F1D-957B-810981197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251460</xdr:colOff>
      <xdr:row>4</xdr:row>
      <xdr:rowOff>72390</xdr:rowOff>
    </xdr:from>
    <xdr:to>
      <xdr:col>21</xdr:col>
      <xdr:colOff>510540</xdr:colOff>
      <xdr:row>41</xdr:row>
      <xdr:rowOff>24765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7772400" y="1152525"/>
          <a:ext cx="5943600" cy="51358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33338</xdr:colOff>
      <xdr:row>2</xdr:row>
      <xdr:rowOff>142874</xdr:rowOff>
    </xdr:from>
    <xdr:to>
      <xdr:col>10</xdr:col>
      <xdr:colOff>510926</xdr:colOff>
      <xdr:row>53</xdr:row>
      <xdr:rowOff>161924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14A3B6F-9FDC-4015-9DC1-18F43840C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-513681" y="1651918"/>
          <a:ext cx="8277225" cy="59639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0</xdr:row>
      <xdr:rowOff>76200</xdr:rowOff>
    </xdr:from>
    <xdr:to>
      <xdr:col>30</xdr:col>
      <xdr:colOff>419100</xdr:colOff>
      <xdr:row>16</xdr:row>
      <xdr:rowOff>66675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133350</xdr:colOff>
      <xdr:row>17</xdr:row>
      <xdr:rowOff>66675</xdr:rowOff>
    </xdr:from>
    <xdr:to>
      <xdr:col>30</xdr:col>
      <xdr:colOff>438150</xdr:colOff>
      <xdr:row>34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0.79396</cdr:x>
      <cdr:y>0.10417</cdr:y>
    </cdr:from>
    <cdr:to>
      <cdr:x>0.97115</cdr:x>
      <cdr:y>0.5625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505450" y="285756"/>
          <a:ext cx="1228692" cy="12572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latin typeface="Times New Roman" pitchFamily="18" charset="0"/>
              <a:cs typeface="Times New Roman" pitchFamily="18" charset="0"/>
            </a:rPr>
            <a:t>Abundance Indicator -</a:t>
          </a:r>
          <a:r>
            <a:rPr lang="en-US" sz="1200" b="1" baseline="0">
              <a:latin typeface="Times New Roman" pitchFamily="18" charset="0"/>
              <a:cs typeface="Times New Roman" pitchFamily="18" charset="0"/>
            </a:rPr>
            <a:t> </a:t>
          </a:r>
        </a:p>
        <a:p xmlns:a="http://schemas.openxmlformats.org/drawingml/2006/main">
          <a:pPr algn="ctr"/>
          <a:endParaRPr lang="en-US" sz="1200" b="1" baseline="0">
            <a:latin typeface="Times New Roman" pitchFamily="18" charset="0"/>
            <a:cs typeface="Times New Roman" pitchFamily="18" charset="0"/>
          </a:endParaRPr>
        </a:p>
        <a:p xmlns:a="http://schemas.openxmlformats.org/drawingml/2006/main">
          <a:pPr algn="ctr"/>
          <a:r>
            <a:rPr lang="en-US" sz="1200" b="1" baseline="0">
              <a:latin typeface="Times New Roman" pitchFamily="18" charset="0"/>
              <a:cs typeface="Times New Roman" pitchFamily="18" charset="0"/>
            </a:rPr>
            <a:t>Wild Snake </a:t>
          </a:r>
        </a:p>
        <a:p xmlns:a="http://schemas.openxmlformats.org/drawingml/2006/main">
          <a:pPr algn="ctr"/>
          <a:r>
            <a:rPr lang="en-US" sz="1200" b="1" baseline="0">
              <a:latin typeface="Times New Roman" pitchFamily="18" charset="0"/>
              <a:cs typeface="Times New Roman" pitchFamily="18" charset="0"/>
            </a:rPr>
            <a:t>Spring/sum Chinook</a:t>
          </a:r>
          <a:endParaRPr lang="en-US" sz="1200" b="1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0.80712</cdr:x>
      <cdr:y>0.10417</cdr:y>
    </cdr:from>
    <cdr:to>
      <cdr:x>0.97115</cdr:x>
      <cdr:y>0.64583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540376" y="280467"/>
          <a:ext cx="1125938" cy="1458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>
            <a:lnSpc>
              <a:spcPts val="1300"/>
            </a:lnSpc>
          </a:pPr>
          <a:r>
            <a:rPr lang="en-US" sz="1200" b="1">
              <a:latin typeface="Times New Roman" pitchFamily="18" charset="0"/>
              <a:cs typeface="Times New Roman" pitchFamily="18" charset="0"/>
            </a:rPr>
            <a:t>Abundance Indicator -</a:t>
          </a:r>
          <a:r>
            <a:rPr lang="en-US" sz="1200" b="1" baseline="0">
              <a:latin typeface="Times New Roman" pitchFamily="18" charset="0"/>
              <a:cs typeface="Times New Roman" pitchFamily="18" charset="0"/>
            </a:rPr>
            <a:t> </a:t>
          </a:r>
        </a:p>
        <a:p xmlns:a="http://schemas.openxmlformats.org/drawingml/2006/main">
          <a:pPr algn="ctr"/>
          <a:endParaRPr lang="en-US" sz="1200" b="1" baseline="0">
            <a:latin typeface="Times New Roman" pitchFamily="18" charset="0"/>
            <a:cs typeface="Times New Roman" pitchFamily="18" charset="0"/>
          </a:endParaRPr>
        </a:p>
        <a:p xmlns:a="http://schemas.openxmlformats.org/drawingml/2006/main">
          <a:pPr algn="ctr"/>
          <a:r>
            <a:rPr lang="en-US" sz="1200" b="1" baseline="0">
              <a:latin typeface="Times New Roman" pitchFamily="18" charset="0"/>
              <a:cs typeface="Times New Roman" pitchFamily="18" charset="0"/>
            </a:rPr>
            <a:t>Wild Upper Columbia </a:t>
          </a:r>
        </a:p>
        <a:p xmlns:a="http://schemas.openxmlformats.org/drawingml/2006/main">
          <a:pPr algn="ctr">
            <a:lnSpc>
              <a:spcPts val="1300"/>
            </a:lnSpc>
          </a:pPr>
          <a:r>
            <a:rPr lang="en-US" sz="1200" b="1" baseline="0">
              <a:latin typeface="Times New Roman" pitchFamily="18" charset="0"/>
              <a:cs typeface="Times New Roman" pitchFamily="18" charset="0"/>
            </a:rPr>
            <a:t>Spring</a:t>
          </a:r>
        </a:p>
        <a:p xmlns:a="http://schemas.openxmlformats.org/drawingml/2006/main">
          <a:pPr algn="ctr">
            <a:lnSpc>
              <a:spcPts val="1300"/>
            </a:lnSpc>
          </a:pPr>
          <a:r>
            <a:rPr lang="en-US" sz="1200" b="1" baseline="0">
              <a:latin typeface="Times New Roman" pitchFamily="18" charset="0"/>
              <a:cs typeface="Times New Roman" pitchFamily="18" charset="0"/>
            </a:rPr>
            <a:t>Chinook</a:t>
          </a:r>
          <a:endParaRPr lang="en-US" sz="1200" b="1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8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3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9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4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1:C62"/>
  <sheetViews>
    <sheetView workbookViewId="0">
      <selection activeCell="C3" sqref="A1:XFD1048576"/>
    </sheetView>
  </sheetViews>
  <sheetFormatPr defaultRowHeight="12.9" x14ac:dyDescent="0.5"/>
  <cols>
    <col min="3" max="3" width="130.41015625" customWidth="1"/>
  </cols>
  <sheetData>
    <row r="1" spans="2:3" x14ac:dyDescent="0.5">
      <c r="B1" t="s">
        <v>0</v>
      </c>
    </row>
    <row r="2" spans="2:3" x14ac:dyDescent="0.5">
      <c r="B2" t="s">
        <v>1</v>
      </c>
      <c r="C2" s="495">
        <v>43588</v>
      </c>
    </row>
    <row r="5" spans="2:3" x14ac:dyDescent="0.5">
      <c r="B5" t="s">
        <v>2</v>
      </c>
    </row>
    <row r="6" spans="2:3" x14ac:dyDescent="0.5">
      <c r="B6" t="s">
        <v>3</v>
      </c>
      <c r="C6" s="496" t="e">
        <v>#REF!</v>
      </c>
    </row>
    <row r="7" spans="2:3" x14ac:dyDescent="0.5">
      <c r="B7" t="s">
        <v>4</v>
      </c>
      <c r="C7" s="496" t="e">
        <v>#REF!</v>
      </c>
    </row>
    <row r="8" spans="2:3" x14ac:dyDescent="0.5">
      <c r="B8" t="s">
        <v>5</v>
      </c>
      <c r="C8" s="496" t="s">
        <v>63</v>
      </c>
    </row>
    <row r="9" spans="2:3" x14ac:dyDescent="0.5">
      <c r="B9" t="s">
        <v>6</v>
      </c>
      <c r="C9" s="496" t="s">
        <v>80</v>
      </c>
    </row>
    <row r="10" spans="2:3" x14ac:dyDescent="0.5">
      <c r="B10" t="s">
        <v>7</v>
      </c>
      <c r="C10" s="496" t="s">
        <v>84</v>
      </c>
    </row>
    <row r="11" spans="2:3" x14ac:dyDescent="0.5">
      <c r="B11" t="s">
        <v>8</v>
      </c>
      <c r="C11" s="496" t="s">
        <v>85</v>
      </c>
    </row>
    <row r="12" spans="2:3" x14ac:dyDescent="0.5">
      <c r="B12" t="s">
        <v>9</v>
      </c>
      <c r="C12" s="496" t="s">
        <v>164</v>
      </c>
    </row>
    <row r="13" spans="2:3" x14ac:dyDescent="0.5">
      <c r="B13" t="s">
        <v>10</v>
      </c>
      <c r="C13" s="496" t="s">
        <v>575</v>
      </c>
    </row>
    <row r="14" spans="2:3" x14ac:dyDescent="0.5">
      <c r="B14" t="s">
        <v>11</v>
      </c>
      <c r="C14" s="496" t="s">
        <v>670</v>
      </c>
    </row>
    <row r="15" spans="2:3" x14ac:dyDescent="0.5">
      <c r="B15" t="s">
        <v>12</v>
      </c>
      <c r="C15" s="496" t="s">
        <v>576</v>
      </c>
    </row>
    <row r="16" spans="2:3" x14ac:dyDescent="0.5">
      <c r="B16" t="s">
        <v>13</v>
      </c>
      <c r="C16" s="496" t="s">
        <v>671</v>
      </c>
    </row>
    <row r="17" spans="2:3" x14ac:dyDescent="0.5">
      <c r="B17" t="s">
        <v>14</v>
      </c>
      <c r="C17" s="496" t="s">
        <v>256</v>
      </c>
    </row>
    <row r="18" spans="2:3" x14ac:dyDescent="0.5">
      <c r="B18" t="s">
        <v>15</v>
      </c>
      <c r="C18" s="496" t="s">
        <v>257</v>
      </c>
    </row>
    <row r="19" spans="2:3" x14ac:dyDescent="0.5">
      <c r="B19" t="s">
        <v>16</v>
      </c>
      <c r="C19" s="496" t="s">
        <v>672</v>
      </c>
    </row>
    <row r="20" spans="2:3" x14ac:dyDescent="0.5">
      <c r="B20" t="s">
        <v>17</v>
      </c>
      <c r="C20" s="496" t="s">
        <v>673</v>
      </c>
    </row>
    <row r="21" spans="2:3" x14ac:dyDescent="0.5">
      <c r="B21" t="s">
        <v>18</v>
      </c>
      <c r="C21" s="496" t="s">
        <v>270</v>
      </c>
    </row>
    <row r="22" spans="2:3" x14ac:dyDescent="0.5">
      <c r="B22" t="s">
        <v>19</v>
      </c>
      <c r="C22" s="496" t="s">
        <v>674</v>
      </c>
    </row>
    <row r="23" spans="2:3" x14ac:dyDescent="0.5">
      <c r="B23" t="s">
        <v>20</v>
      </c>
      <c r="C23" s="496" t="s">
        <v>272</v>
      </c>
    </row>
    <row r="24" spans="2:3" x14ac:dyDescent="0.5">
      <c r="B24" t="s">
        <v>21</v>
      </c>
      <c r="C24" s="496" t="s">
        <v>273</v>
      </c>
    </row>
    <row r="25" spans="2:3" x14ac:dyDescent="0.5">
      <c r="B25" t="s">
        <v>22</v>
      </c>
      <c r="C25" s="496" t="s">
        <v>675</v>
      </c>
    </row>
    <row r="26" spans="2:3" x14ac:dyDescent="0.5">
      <c r="B26" t="s">
        <v>23</v>
      </c>
      <c r="C26" s="496" t="s">
        <v>676</v>
      </c>
    </row>
    <row r="27" spans="2:3" x14ac:dyDescent="0.5">
      <c r="B27" t="s">
        <v>24</v>
      </c>
      <c r="C27" s="496" t="s">
        <v>274</v>
      </c>
    </row>
    <row r="28" spans="2:3" x14ac:dyDescent="0.5">
      <c r="B28" t="s">
        <v>25</v>
      </c>
      <c r="C28" s="496" t="s">
        <v>677</v>
      </c>
    </row>
    <row r="29" spans="2:3" x14ac:dyDescent="0.5">
      <c r="B29" t="s">
        <v>26</v>
      </c>
      <c r="C29" s="496" t="e">
        <v>#REF!</v>
      </c>
    </row>
    <row r="30" spans="2:3" x14ac:dyDescent="0.5">
      <c r="B30" t="s">
        <v>27</v>
      </c>
      <c r="C30" s="496" t="s">
        <v>678</v>
      </c>
    </row>
    <row r="31" spans="2:3" x14ac:dyDescent="0.5">
      <c r="B31" t="s">
        <v>28</v>
      </c>
      <c r="C31" s="496" t="s">
        <v>634</v>
      </c>
    </row>
    <row r="32" spans="2:3" x14ac:dyDescent="0.5">
      <c r="B32" t="s">
        <v>29</v>
      </c>
      <c r="C32" s="496" t="s">
        <v>635</v>
      </c>
    </row>
    <row r="33" spans="2:3" x14ac:dyDescent="0.5">
      <c r="B33" t="s">
        <v>30</v>
      </c>
      <c r="C33" s="496" t="s">
        <v>636</v>
      </c>
    </row>
    <row r="34" spans="2:3" x14ac:dyDescent="0.5">
      <c r="B34" t="s">
        <v>31</v>
      </c>
      <c r="C34" s="496" t="s">
        <v>637</v>
      </c>
    </row>
    <row r="35" spans="2:3" x14ac:dyDescent="0.5">
      <c r="B35" t="s">
        <v>32</v>
      </c>
      <c r="C35" s="496" t="s">
        <v>638</v>
      </c>
    </row>
    <row r="36" spans="2:3" x14ac:dyDescent="0.5">
      <c r="B36" t="s">
        <v>33</v>
      </c>
      <c r="C36" s="496" t="s">
        <v>639</v>
      </c>
    </row>
    <row r="37" spans="2:3" x14ac:dyDescent="0.5">
      <c r="B37" t="s">
        <v>34</v>
      </c>
      <c r="C37" s="496" t="s">
        <v>640</v>
      </c>
    </row>
    <row r="38" spans="2:3" x14ac:dyDescent="0.5">
      <c r="B38" t="s">
        <v>35</v>
      </c>
      <c r="C38" s="496" t="s">
        <v>641</v>
      </c>
    </row>
    <row r="39" spans="2:3" x14ac:dyDescent="0.5">
      <c r="B39" t="s">
        <v>36</v>
      </c>
      <c r="C39" s="496" t="s">
        <v>642</v>
      </c>
    </row>
    <row r="40" spans="2:3" x14ac:dyDescent="0.5">
      <c r="B40" t="s">
        <v>37</v>
      </c>
      <c r="C40" s="496" t="s">
        <v>643</v>
      </c>
    </row>
    <row r="41" spans="2:3" x14ac:dyDescent="0.5">
      <c r="B41" t="s">
        <v>38</v>
      </c>
      <c r="C41" s="496" t="s">
        <v>644</v>
      </c>
    </row>
    <row r="42" spans="2:3" x14ac:dyDescent="0.5">
      <c r="B42" t="s">
        <v>39</v>
      </c>
      <c r="C42" s="496" t="s">
        <v>645</v>
      </c>
    </row>
    <row r="43" spans="2:3" x14ac:dyDescent="0.5">
      <c r="B43" t="s">
        <v>40</v>
      </c>
      <c r="C43" s="496" t="s">
        <v>646</v>
      </c>
    </row>
    <row r="44" spans="2:3" x14ac:dyDescent="0.5">
      <c r="B44" t="s">
        <v>41</v>
      </c>
      <c r="C44" s="496" t="s">
        <v>647</v>
      </c>
    </row>
    <row r="45" spans="2:3" x14ac:dyDescent="0.5">
      <c r="B45" t="s">
        <v>42</v>
      </c>
      <c r="C45" s="496" t="s">
        <v>648</v>
      </c>
    </row>
    <row r="46" spans="2:3" x14ac:dyDescent="0.5">
      <c r="B46" t="s">
        <v>43</v>
      </c>
      <c r="C46" s="496" t="s">
        <v>649</v>
      </c>
    </row>
    <row r="47" spans="2:3" x14ac:dyDescent="0.5">
      <c r="B47" t="s">
        <v>44</v>
      </c>
      <c r="C47" s="496" t="s">
        <v>650</v>
      </c>
    </row>
    <row r="48" spans="2:3" s="539" customFormat="1" x14ac:dyDescent="0.5">
      <c r="B48" t="s">
        <v>45</v>
      </c>
      <c r="C48" s="542"/>
    </row>
    <row r="49" spans="2:3" x14ac:dyDescent="0.5">
      <c r="B49" t="s">
        <v>46</v>
      </c>
      <c r="C49" s="496" t="s">
        <v>651</v>
      </c>
    </row>
    <row r="50" spans="2:3" x14ac:dyDescent="0.5">
      <c r="B50" t="s">
        <v>47</v>
      </c>
      <c r="C50" s="496" t="s">
        <v>652</v>
      </c>
    </row>
    <row r="51" spans="2:3" x14ac:dyDescent="0.5">
      <c r="B51" t="s">
        <v>48</v>
      </c>
      <c r="C51" s="496" t="s">
        <v>653</v>
      </c>
    </row>
    <row r="52" spans="2:3" x14ac:dyDescent="0.5">
      <c r="B52" t="s">
        <v>49</v>
      </c>
      <c r="C52" s="496" t="s">
        <v>654</v>
      </c>
    </row>
    <row r="53" spans="2:3" x14ac:dyDescent="0.5">
      <c r="B53" t="s">
        <v>50</v>
      </c>
      <c r="C53" s="496" t="s">
        <v>655</v>
      </c>
    </row>
    <row r="54" spans="2:3" s="539" customFormat="1" x14ac:dyDescent="0.5">
      <c r="B54" s="539" t="s">
        <v>632</v>
      </c>
      <c r="C54" s="542"/>
    </row>
    <row r="55" spans="2:3" x14ac:dyDescent="0.5">
      <c r="B55" s="539" t="s">
        <v>633</v>
      </c>
      <c r="C55" s="496" t="s">
        <v>656</v>
      </c>
    </row>
    <row r="56" spans="2:3" x14ac:dyDescent="0.5">
      <c r="B56" t="s">
        <v>51</v>
      </c>
      <c r="C56" s="496" t="s">
        <v>51</v>
      </c>
    </row>
    <row r="57" spans="2:3" x14ac:dyDescent="0.5">
      <c r="B57" t="s">
        <v>52</v>
      </c>
      <c r="C57" s="496" t="s">
        <v>335</v>
      </c>
    </row>
    <row r="58" spans="2:3" x14ac:dyDescent="0.5">
      <c r="B58" t="s">
        <v>53</v>
      </c>
      <c r="C58" s="496" t="s">
        <v>369</v>
      </c>
    </row>
    <row r="59" spans="2:3" x14ac:dyDescent="0.5">
      <c r="B59" t="s">
        <v>54</v>
      </c>
      <c r="C59" s="496" t="s">
        <v>384</v>
      </c>
    </row>
    <row r="60" spans="2:3" x14ac:dyDescent="0.5">
      <c r="C60" s="496" t="s">
        <v>480</v>
      </c>
    </row>
    <row r="61" spans="2:3" x14ac:dyDescent="0.5">
      <c r="C61" s="498" t="s">
        <v>526</v>
      </c>
    </row>
    <row r="62" spans="2:3" x14ac:dyDescent="0.5">
      <c r="C62" s="496" t="s">
        <v>556</v>
      </c>
    </row>
  </sheetData>
  <hyperlinks>
    <hyperlink ref="C6" location="'T1 '!A1" display="'T1 '!A1"/>
    <hyperlink ref="C7" location="'T2'!A1" display="'T2'!A1"/>
    <hyperlink ref="C8" location="'T3'!A1" display="'T3'!A1"/>
    <hyperlink ref="C9" location="'T4'!A1" display="'T4'!A1"/>
    <hyperlink ref="C10" location="'T5'!A1" display="'T5'!A1"/>
    <hyperlink ref="C11" location="'T6'!A1" display="'T6'!A1"/>
    <hyperlink ref="C12" location="'T7'!_Ref494206189" display="'T7'!_Ref494206189"/>
    <hyperlink ref="C13" location="'T8'!_Ref494206621" display="'T8'!_Ref494206621"/>
    <hyperlink ref="C14" location="'T9'!A1" display="'T9'!A1"/>
    <hyperlink ref="C15" location="'T10'!A1" display="'T10'!A1"/>
    <hyperlink ref="C16" location="'T11'!A1" display="'T11'!A1"/>
    <hyperlink ref="C17" location="'T12'!A1" display="'T12'!A1"/>
    <hyperlink ref="C18" location="'T13'!A1" display="'T13'!A1"/>
    <hyperlink ref="C19" location="'T14'!A1" display="'T14'!A1"/>
    <hyperlink ref="C20" location="'T15 '!A1" display="'T15 '!A1"/>
    <hyperlink ref="C21" location="'T16'!A1" display="'T16'!A1"/>
    <hyperlink ref="C22" location="'T16'!A1" display="'T16'!A1"/>
    <hyperlink ref="C23" location="'T18 '!A1" display="'T18 '!A1"/>
    <hyperlink ref="C24" location="'T19 '!A1" display="'T19 '!A1"/>
    <hyperlink ref="C25" location="'T20'!A1" display="'T20'!A1"/>
    <hyperlink ref="C26" location="'T21'!A1" display="'T21'!A1"/>
    <hyperlink ref="C27" location="'T22'!A1" display="'T22'!A1"/>
    <hyperlink ref="C28" location="'T23'!A1" display="'T23'!A1"/>
    <hyperlink ref="C29" location="'T24'!A1" display="'T24'!A1"/>
    <hyperlink ref="C30" location="'T 25'!A1" display="'T 25'!A1"/>
    <hyperlink ref="C31" location="'T 26'!A1" display="'T 26'!A1"/>
    <hyperlink ref="C32" location="'T27'!A1" display="'T27'!A1"/>
    <hyperlink ref="C33" location="'T 28 '!A1" display="'T 28 '!A1"/>
    <hyperlink ref="C34" location="'T 29'!A1" display="'T 29'!A1"/>
    <hyperlink ref="C35" location="'T 30'!A1" display="'T 30'!A1"/>
    <hyperlink ref="C36" location="'T 31'!A1" display="'T 31'!A1"/>
    <hyperlink ref="C37" location="'T 32'!A1" display="'T 32'!A1"/>
    <hyperlink ref="C38" location="'T 33'!A1" display="'T 33'!A1"/>
    <hyperlink ref="C39" location="'T 34'!A1" display="'T 34'!A1"/>
    <hyperlink ref="C40" location="'T35'!A1" display="'T35'!A1"/>
    <hyperlink ref="C41" location="'T36'!A1" display="'T36'!A1"/>
    <hyperlink ref="C42" location="'T37'!A1" display="'T37'!A1"/>
    <hyperlink ref="C43" location="'T38'!A1" display="'T38'!A1"/>
    <hyperlink ref="C44" location="'T39'!A1" display="'T39'!A1"/>
    <hyperlink ref="C45" location="'T40'!A1" display="'T40'!A1"/>
    <hyperlink ref="C46" location="'T41'!A1" display="'T41'!A1"/>
    <hyperlink ref="C47" location="'T42'!A1" display="'T42'!A1"/>
    <hyperlink ref="C49" location="'T43'!A1" display="'T43'!A1"/>
    <hyperlink ref="C50" location="'T44'!A1" display="'T44'!A1"/>
    <hyperlink ref="C51" location="'T45'!A1" display="'T45'!A1"/>
    <hyperlink ref="C52" location="'T46'!A1" display="'T46'!A1"/>
    <hyperlink ref="C53" location="'T47'!A1" display="'T47'!A1"/>
    <hyperlink ref="C55" location="'T48'!A1" display="'T48'!A1"/>
    <hyperlink ref="C56" location="Figures!A1" display="Figures!A1"/>
    <hyperlink ref="C57" location="'A1 2018 ESA Impacts'!A1" display="'A1 2018 ESA Impacts'!A1"/>
    <hyperlink ref="C58" location="'A2 fall model'!A1" display="'A2 fall model'!A1"/>
    <hyperlink ref="C59" location="'Abundance data'!A1" display="'Abundance data'!A1"/>
    <hyperlink ref="C60" location="'OR_ID Spring Detail'!A1" display="'OR_ID Spring Detail'!A1"/>
    <hyperlink ref="C61" location="'LGR Sthd'!A1" display="'LGR Sthd'!A1"/>
    <hyperlink ref="C62" location="BonSThd!A1" display="BonSThd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3"/>
  <sheetViews>
    <sheetView workbookViewId="0">
      <selection activeCell="G1" sqref="G1"/>
    </sheetView>
  </sheetViews>
  <sheetFormatPr defaultColWidth="8.87890625" defaultRowHeight="12.9" x14ac:dyDescent="0.5"/>
  <cols>
    <col min="1" max="9" width="15.76171875" style="503" customWidth="1"/>
    <col min="10" max="14" width="8.87890625" style="503"/>
    <col min="15" max="15" width="10.1171875" style="503" customWidth="1"/>
    <col min="16" max="16384" width="8.87890625" style="503"/>
  </cols>
  <sheetData>
    <row r="1" spans="1:9" x14ac:dyDescent="0.5">
      <c r="A1" s="586" t="s">
        <v>82</v>
      </c>
      <c r="B1" s="503" t="s">
        <v>722</v>
      </c>
      <c r="C1" s="503" t="s">
        <v>723</v>
      </c>
      <c r="D1" s="503" t="s">
        <v>724</v>
      </c>
      <c r="E1" s="503" t="s">
        <v>725</v>
      </c>
      <c r="F1" s="503" t="s">
        <v>726</v>
      </c>
      <c r="G1" s="503" t="s">
        <v>727</v>
      </c>
      <c r="H1" s="503" t="s">
        <v>728</v>
      </c>
      <c r="I1" s="503" t="s">
        <v>729</v>
      </c>
    </row>
    <row r="2" spans="1:9" x14ac:dyDescent="0.5">
      <c r="A2" s="586">
        <v>2008</v>
      </c>
      <c r="B2" s="201">
        <v>214465</v>
      </c>
      <c r="C2" s="201">
        <v>974</v>
      </c>
      <c r="D2" s="201">
        <v>9017</v>
      </c>
      <c r="E2" s="201">
        <f>C2+D2</f>
        <v>9991</v>
      </c>
      <c r="F2" s="590">
        <f t="shared" ref="F2:F8" si="0">C2/B2</f>
        <v>4.5415335835684145E-3</v>
      </c>
      <c r="G2" s="590">
        <f t="shared" ref="G2:G10" si="1">D2/B2</f>
        <v>4.2044156389154409E-2</v>
      </c>
      <c r="H2" s="201">
        <v>6162</v>
      </c>
      <c r="I2" s="201">
        <f>C2+H2</f>
        <v>7136</v>
      </c>
    </row>
    <row r="3" spans="1:9" x14ac:dyDescent="0.5">
      <c r="A3" s="586">
        <v>2009</v>
      </c>
      <c r="B3" s="201">
        <v>179731.5</v>
      </c>
      <c r="C3" s="201">
        <v>1186.5</v>
      </c>
      <c r="D3" s="201">
        <v>9731</v>
      </c>
      <c r="E3" s="201">
        <f t="shared" ref="E3:E12" si="2">C3+D3</f>
        <v>10917.5</v>
      </c>
      <c r="F3" s="590">
        <f t="shared" si="0"/>
        <v>6.6015139249380322E-3</v>
      </c>
      <c r="G3" s="590">
        <f t="shared" si="1"/>
        <v>5.4141872737945212E-2</v>
      </c>
      <c r="H3" s="201">
        <v>21508</v>
      </c>
      <c r="I3" s="201">
        <f t="shared" ref="I3:I9" si="3">C3+H3</f>
        <v>22694.5</v>
      </c>
    </row>
    <row r="4" spans="1:9" x14ac:dyDescent="0.5">
      <c r="A4" s="586">
        <v>2010</v>
      </c>
      <c r="B4" s="201">
        <v>392192.8</v>
      </c>
      <c r="C4" s="201">
        <v>467.8</v>
      </c>
      <c r="D4" s="201">
        <v>26125</v>
      </c>
      <c r="E4" s="201">
        <f t="shared" si="2"/>
        <v>26592.799999999999</v>
      </c>
      <c r="F4" s="590">
        <f t="shared" si="0"/>
        <v>1.1927806935772406E-3</v>
      </c>
      <c r="G4" s="590">
        <f t="shared" si="1"/>
        <v>6.6612645617155644E-2</v>
      </c>
      <c r="H4" s="201">
        <v>32707</v>
      </c>
      <c r="I4" s="201">
        <f t="shared" si="3"/>
        <v>33174.800000000003</v>
      </c>
    </row>
    <row r="5" spans="1:9" x14ac:dyDescent="0.5">
      <c r="A5" s="586">
        <v>2011</v>
      </c>
      <c r="B5" s="201">
        <v>187365.2</v>
      </c>
      <c r="C5" s="201">
        <v>1873.2</v>
      </c>
      <c r="D5" s="201">
        <v>12853</v>
      </c>
      <c r="E5" s="201">
        <f t="shared" si="2"/>
        <v>14726.2</v>
      </c>
      <c r="F5" s="590">
        <f>C5/B5</f>
        <v>9.9975875989778244E-3</v>
      </c>
      <c r="G5" s="590">
        <f t="shared" si="1"/>
        <v>6.8598651190295734E-2</v>
      </c>
      <c r="H5" s="201">
        <v>2958</v>
      </c>
      <c r="I5" s="201">
        <f t="shared" si="3"/>
        <v>4831.2</v>
      </c>
    </row>
    <row r="6" spans="1:9" x14ac:dyDescent="0.5">
      <c r="A6" s="586">
        <v>2012</v>
      </c>
      <c r="B6" s="201">
        <v>521158.8</v>
      </c>
      <c r="C6" s="201">
        <v>5455.8</v>
      </c>
      <c r="D6" s="201">
        <v>45352</v>
      </c>
      <c r="E6" s="201">
        <f t="shared" si="2"/>
        <v>50807.8</v>
      </c>
      <c r="F6" s="591">
        <f>C6/B6</f>
        <v>1.0468594217347957E-2</v>
      </c>
      <c r="G6" s="591">
        <f>D6/B6</f>
        <v>8.702146063733357E-2</v>
      </c>
      <c r="H6" s="201">
        <v>62535</v>
      </c>
      <c r="I6" s="201">
        <f t="shared" si="3"/>
        <v>67990.8</v>
      </c>
    </row>
    <row r="7" spans="1:9" x14ac:dyDescent="0.5">
      <c r="A7" s="586">
        <v>2013</v>
      </c>
      <c r="B7" s="201">
        <v>186191.45</v>
      </c>
      <c r="C7" s="201">
        <v>708.45</v>
      </c>
      <c r="D7" s="201">
        <v>8049</v>
      </c>
      <c r="E7" s="201">
        <f t="shared" si="2"/>
        <v>8757.4500000000007</v>
      </c>
      <c r="F7" s="590">
        <f t="shared" si="0"/>
        <v>3.8049545239590755E-3</v>
      </c>
      <c r="G7" s="590">
        <f t="shared" si="1"/>
        <v>4.3229697174601733E-2</v>
      </c>
      <c r="H7" s="201">
        <v>22365</v>
      </c>
      <c r="I7" s="201">
        <f t="shared" si="3"/>
        <v>23073.45</v>
      </c>
    </row>
    <row r="8" spans="1:9" x14ac:dyDescent="0.5">
      <c r="A8" s="586">
        <v>2014</v>
      </c>
      <c r="B8" s="201">
        <v>651145.55000000005</v>
      </c>
      <c r="C8" s="201">
        <v>1707.55</v>
      </c>
      <c r="D8" s="201">
        <v>30702</v>
      </c>
      <c r="E8" s="201">
        <f t="shared" si="2"/>
        <v>32409.55</v>
      </c>
      <c r="F8" s="590">
        <f t="shared" si="0"/>
        <v>2.6223783607213468E-3</v>
      </c>
      <c r="G8" s="590">
        <f t="shared" si="1"/>
        <v>4.7150748400261656E-2</v>
      </c>
      <c r="H8" s="201">
        <v>70574</v>
      </c>
      <c r="I8" s="201">
        <f t="shared" si="3"/>
        <v>72281.55</v>
      </c>
    </row>
    <row r="9" spans="1:9" x14ac:dyDescent="0.5">
      <c r="A9" s="586">
        <v>2015</v>
      </c>
      <c r="B9" s="201">
        <v>512454.8</v>
      </c>
      <c r="C9" s="201">
        <v>1486.8</v>
      </c>
      <c r="D9" s="201">
        <v>30095</v>
      </c>
      <c r="E9" s="201">
        <f t="shared" si="2"/>
        <v>31581.8</v>
      </c>
      <c r="F9" s="590">
        <f>C9/B9</f>
        <v>2.901329053801428E-3</v>
      </c>
      <c r="G9" s="590">
        <f t="shared" si="1"/>
        <v>5.8727130665963127E-2</v>
      </c>
      <c r="H9" s="201">
        <v>76917</v>
      </c>
      <c r="I9" s="201">
        <f t="shared" si="3"/>
        <v>78403.8</v>
      </c>
    </row>
    <row r="10" spans="1:9" x14ac:dyDescent="0.5">
      <c r="A10" s="586">
        <v>2016</v>
      </c>
      <c r="B10" s="201">
        <v>356605.8</v>
      </c>
      <c r="C10" s="201">
        <v>1189.8</v>
      </c>
      <c r="D10" s="201">
        <v>16683</v>
      </c>
      <c r="E10" s="201">
        <f t="shared" si="2"/>
        <v>17872.8</v>
      </c>
      <c r="F10" s="590">
        <f>C10/B10</f>
        <v>3.3364572309255765E-3</v>
      </c>
      <c r="G10" s="590">
        <f t="shared" si="1"/>
        <v>4.6782750028182378E-2</v>
      </c>
      <c r="H10" s="201">
        <v>38835</v>
      </c>
      <c r="I10" s="201">
        <f>SUM(C10,H10)</f>
        <v>40024.800000000003</v>
      </c>
    </row>
    <row r="11" spans="1:9" x14ac:dyDescent="0.5">
      <c r="A11" s="586">
        <v>2017</v>
      </c>
      <c r="B11" s="201">
        <v>88263</v>
      </c>
      <c r="C11" s="201">
        <v>414</v>
      </c>
      <c r="D11" s="201">
        <v>4480</v>
      </c>
      <c r="E11" s="201">
        <f t="shared" si="2"/>
        <v>4894</v>
      </c>
      <c r="F11" s="590">
        <f>C11/B11</f>
        <v>4.6905271744672175E-3</v>
      </c>
      <c r="G11" s="590">
        <f>D11/B11</f>
        <v>5.0757395511142833E-2</v>
      </c>
      <c r="H11" s="201">
        <v>7823</v>
      </c>
      <c r="I11" s="201">
        <f>SUM(C11,H11)</f>
        <v>8237</v>
      </c>
    </row>
    <row r="12" spans="1:9" x14ac:dyDescent="0.5">
      <c r="A12" s="586">
        <v>2018</v>
      </c>
      <c r="B12" s="201">
        <v>210914.89347826087</v>
      </c>
      <c r="C12" s="201">
        <v>106.35</v>
      </c>
      <c r="D12" s="201">
        <v>7724</v>
      </c>
      <c r="E12" s="201">
        <f t="shared" si="2"/>
        <v>7830.35</v>
      </c>
      <c r="F12" s="590">
        <f>C12/B12</f>
        <v>5.0423181713794699E-4</v>
      </c>
      <c r="G12" s="590">
        <f>D12/B12</f>
        <v>3.6621406258331005E-2</v>
      </c>
      <c r="H12" s="201">
        <v>28801</v>
      </c>
      <c r="I12" s="201">
        <f>SUM(C12,H12)</f>
        <v>28907.35</v>
      </c>
    </row>
    <row r="13" spans="1:9" x14ac:dyDescent="0.5">
      <c r="A13" s="586"/>
      <c r="B13" s="201"/>
      <c r="C13" s="201"/>
      <c r="D13" s="201"/>
      <c r="E13" s="201"/>
      <c r="F13" s="590"/>
      <c r="G13" s="590"/>
      <c r="H13" s="201"/>
      <c r="I13" s="20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00B050"/>
  </sheetPr>
  <dimension ref="B2:BA73"/>
  <sheetViews>
    <sheetView topLeftCell="D4" workbookViewId="0">
      <selection activeCell="L12" sqref="L12"/>
    </sheetView>
  </sheetViews>
  <sheetFormatPr defaultRowHeight="12.9" x14ac:dyDescent="0.5"/>
  <cols>
    <col min="3" max="3" width="11.1171875" customWidth="1"/>
    <col min="4" max="4" width="11.87890625" customWidth="1"/>
    <col min="5" max="5" width="11.64453125" customWidth="1"/>
    <col min="6" max="6" width="11" customWidth="1"/>
    <col min="9" max="9" width="9.87890625" customWidth="1"/>
    <col min="16" max="16" width="10.1171875" customWidth="1"/>
  </cols>
  <sheetData>
    <row r="2" spans="2:10" ht="14.4" x14ac:dyDescent="0.5">
      <c r="B2" s="336" t="s">
        <v>164</v>
      </c>
    </row>
    <row r="3" spans="2:10" x14ac:dyDescent="0.5">
      <c r="B3" s="21"/>
    </row>
    <row r="4" spans="2:10" x14ac:dyDescent="0.5">
      <c r="B4" t="s">
        <v>165</v>
      </c>
    </row>
    <row r="6" spans="2:10" ht="28.5" customHeight="1" x14ac:dyDescent="0.5">
      <c r="B6" s="13"/>
      <c r="C6" s="14"/>
      <c r="D6" s="14"/>
      <c r="E6" s="14"/>
      <c r="F6" s="14"/>
      <c r="G6" s="6" t="s">
        <v>166</v>
      </c>
      <c r="H6" s="6" t="s">
        <v>167</v>
      </c>
      <c r="I6" s="14"/>
      <c r="J6" s="15"/>
    </row>
    <row r="7" spans="2:10" ht="69" customHeight="1" x14ac:dyDescent="0.5">
      <c r="B7" s="524" t="s">
        <v>55</v>
      </c>
      <c r="C7" s="8" t="s">
        <v>56</v>
      </c>
      <c r="D7" s="8" t="s">
        <v>168</v>
      </c>
      <c r="E7" s="8" t="s">
        <v>169</v>
      </c>
      <c r="F7" s="8" t="s">
        <v>170</v>
      </c>
      <c r="G7" s="8" t="s">
        <v>171</v>
      </c>
      <c r="H7" s="8" t="s">
        <v>172</v>
      </c>
      <c r="I7" s="8" t="s">
        <v>173</v>
      </c>
      <c r="J7" s="9" t="s">
        <v>174</v>
      </c>
    </row>
    <row r="8" spans="2:10" x14ac:dyDescent="0.5">
      <c r="B8" s="7">
        <v>2008</v>
      </c>
      <c r="C8" s="10">
        <v>214465</v>
      </c>
      <c r="D8" s="10">
        <v>974</v>
      </c>
      <c r="E8" s="10">
        <v>9017</v>
      </c>
      <c r="F8" s="3">
        <f>D8+E8</f>
        <v>9991</v>
      </c>
      <c r="G8" s="11">
        <f t="shared" ref="G8:G14" si="0">D8/C8</f>
        <v>4.5415335835684145E-3</v>
      </c>
      <c r="H8" s="11">
        <f t="shared" ref="H8:H16" si="1">E8/C8</f>
        <v>4.2044156389154409E-2</v>
      </c>
      <c r="I8" s="3">
        <v>6162</v>
      </c>
      <c r="J8" s="12">
        <f>D8+I8</f>
        <v>7136</v>
      </c>
    </row>
    <row r="9" spans="2:10" x14ac:dyDescent="0.5">
      <c r="B9" s="7">
        <v>2009</v>
      </c>
      <c r="C9" s="10">
        <v>179731.5</v>
      </c>
      <c r="D9" s="10">
        <v>1186.5</v>
      </c>
      <c r="E9" s="10">
        <v>9731</v>
      </c>
      <c r="F9" s="3">
        <f t="shared" ref="F9:F18" si="2">D9+E9</f>
        <v>10917.5</v>
      </c>
      <c r="G9" s="11">
        <f t="shared" si="0"/>
        <v>6.6015139249380322E-3</v>
      </c>
      <c r="H9" s="11">
        <f t="shared" si="1"/>
        <v>5.4141872737945212E-2</v>
      </c>
      <c r="I9" s="3">
        <v>21508</v>
      </c>
      <c r="J9" s="12">
        <f t="shared" ref="J9:J15" si="3">D9+I9</f>
        <v>22694.5</v>
      </c>
    </row>
    <row r="10" spans="2:10" x14ac:dyDescent="0.5">
      <c r="B10" s="7">
        <v>2010</v>
      </c>
      <c r="C10" s="10">
        <v>392192.8</v>
      </c>
      <c r="D10" s="10">
        <v>467.8</v>
      </c>
      <c r="E10" s="10">
        <v>26125</v>
      </c>
      <c r="F10" s="3">
        <f t="shared" si="2"/>
        <v>26592.799999999999</v>
      </c>
      <c r="G10" s="11">
        <f t="shared" si="0"/>
        <v>1.1927806935772406E-3</v>
      </c>
      <c r="H10" s="11">
        <f t="shared" si="1"/>
        <v>6.6612645617155644E-2</v>
      </c>
      <c r="I10" s="3">
        <v>32707</v>
      </c>
      <c r="J10" s="12">
        <f t="shared" si="3"/>
        <v>33174.800000000003</v>
      </c>
    </row>
    <row r="11" spans="2:10" x14ac:dyDescent="0.5">
      <c r="B11" s="7">
        <v>2011</v>
      </c>
      <c r="C11" s="10">
        <v>187365.2</v>
      </c>
      <c r="D11" s="10">
        <v>1873.2</v>
      </c>
      <c r="E11" s="10">
        <v>12853</v>
      </c>
      <c r="F11" s="3">
        <f t="shared" si="2"/>
        <v>14726.2</v>
      </c>
      <c r="G11" s="11">
        <f>D11/C11</f>
        <v>9.9975875989778244E-3</v>
      </c>
      <c r="H11" s="11">
        <f t="shared" si="1"/>
        <v>6.8598651190295734E-2</v>
      </c>
      <c r="I11" s="3">
        <v>2958</v>
      </c>
      <c r="J11" s="12">
        <f t="shared" si="3"/>
        <v>4831.2</v>
      </c>
    </row>
    <row r="12" spans="2:10" x14ac:dyDescent="0.5">
      <c r="B12" s="7">
        <v>2012</v>
      </c>
      <c r="C12" s="10">
        <v>521158.8</v>
      </c>
      <c r="D12" s="10">
        <v>5455.8</v>
      </c>
      <c r="E12" s="366">
        <v>45352</v>
      </c>
      <c r="F12" s="3">
        <f t="shared" si="2"/>
        <v>50807.8</v>
      </c>
      <c r="G12" s="111">
        <f>D12/C12</f>
        <v>1.0468594217347957E-2</v>
      </c>
      <c r="H12" s="5">
        <f>E12/C12</f>
        <v>8.702146063733357E-2</v>
      </c>
      <c r="I12" s="3">
        <v>62535</v>
      </c>
      <c r="J12" s="12">
        <f t="shared" si="3"/>
        <v>67990.8</v>
      </c>
    </row>
    <row r="13" spans="2:10" x14ac:dyDescent="0.5">
      <c r="B13" s="7">
        <v>2013</v>
      </c>
      <c r="C13" s="10">
        <v>186191.45</v>
      </c>
      <c r="D13" s="10">
        <v>708.45</v>
      </c>
      <c r="E13" s="10">
        <v>8049</v>
      </c>
      <c r="F13" s="3">
        <f t="shared" si="2"/>
        <v>8757.4500000000007</v>
      </c>
      <c r="G13" s="11">
        <f t="shared" si="0"/>
        <v>3.8049545239590755E-3</v>
      </c>
      <c r="H13" s="11">
        <f t="shared" si="1"/>
        <v>4.3229697174601733E-2</v>
      </c>
      <c r="I13" s="3">
        <v>22365</v>
      </c>
      <c r="J13" s="12">
        <f t="shared" si="3"/>
        <v>23073.45</v>
      </c>
    </row>
    <row r="14" spans="2:10" x14ac:dyDescent="0.5">
      <c r="B14" s="7">
        <v>2014</v>
      </c>
      <c r="C14" s="10">
        <v>651145.55000000005</v>
      </c>
      <c r="D14" s="10">
        <v>1707.55</v>
      </c>
      <c r="E14" s="10">
        <v>30702</v>
      </c>
      <c r="F14" s="3">
        <f t="shared" si="2"/>
        <v>32409.55</v>
      </c>
      <c r="G14" s="11">
        <f t="shared" si="0"/>
        <v>2.6223783607213468E-3</v>
      </c>
      <c r="H14" s="11">
        <f t="shared" si="1"/>
        <v>4.7150748400261656E-2</v>
      </c>
      <c r="I14" s="3">
        <v>70574</v>
      </c>
      <c r="J14" s="12">
        <f t="shared" si="3"/>
        <v>72281.55</v>
      </c>
    </row>
    <row r="15" spans="2:10" x14ac:dyDescent="0.5">
      <c r="B15" s="7">
        <v>2015</v>
      </c>
      <c r="C15" s="201">
        <v>512454.8</v>
      </c>
      <c r="D15" s="10">
        <v>1486.8</v>
      </c>
      <c r="E15" s="10">
        <v>30095</v>
      </c>
      <c r="F15" s="3">
        <f t="shared" si="2"/>
        <v>31581.8</v>
      </c>
      <c r="G15" s="11">
        <f>D15/C15</f>
        <v>2.901329053801428E-3</v>
      </c>
      <c r="H15" s="11">
        <f t="shared" si="1"/>
        <v>5.8727130665963127E-2</v>
      </c>
      <c r="I15" s="3">
        <v>76917</v>
      </c>
      <c r="J15" s="12">
        <f t="shared" si="3"/>
        <v>78403.8</v>
      </c>
    </row>
    <row r="16" spans="2:10" x14ac:dyDescent="0.5">
      <c r="B16" s="7">
        <v>2016</v>
      </c>
      <c r="C16" s="201">
        <v>356605.8</v>
      </c>
      <c r="D16" s="10">
        <v>1189.8</v>
      </c>
      <c r="E16" s="10">
        <v>16683</v>
      </c>
      <c r="F16" s="3">
        <f t="shared" si="2"/>
        <v>17872.8</v>
      </c>
      <c r="G16" s="11">
        <f>D16/C16</f>
        <v>3.3364572309255765E-3</v>
      </c>
      <c r="H16" s="11">
        <f t="shared" si="1"/>
        <v>4.6782750028182378E-2</v>
      </c>
      <c r="I16" s="3">
        <v>38835</v>
      </c>
      <c r="J16" s="12">
        <f>SUM(D16,I16)</f>
        <v>40024.800000000003</v>
      </c>
    </row>
    <row r="17" spans="2:33" x14ac:dyDescent="0.5">
      <c r="B17" s="7">
        <v>2017</v>
      </c>
      <c r="C17" s="201">
        <v>88263</v>
      </c>
      <c r="D17" s="10">
        <v>414</v>
      </c>
      <c r="E17" s="10">
        <v>4480</v>
      </c>
      <c r="F17" s="3">
        <f t="shared" si="2"/>
        <v>4894</v>
      </c>
      <c r="G17" s="11">
        <f>D17/C17</f>
        <v>4.6905271744672175E-3</v>
      </c>
      <c r="H17" s="11">
        <f>E17/C17</f>
        <v>5.0757395511142833E-2</v>
      </c>
      <c r="I17" s="3">
        <v>7823</v>
      </c>
      <c r="J17" s="12">
        <f>SUM(D17,I17)</f>
        <v>8237</v>
      </c>
    </row>
    <row r="18" spans="2:33" x14ac:dyDescent="0.5">
      <c r="B18" s="7">
        <v>2018</v>
      </c>
      <c r="C18" s="201">
        <v>210914.89347826087</v>
      </c>
      <c r="D18" s="10">
        <v>106.35</v>
      </c>
      <c r="E18" s="10">
        <v>7724</v>
      </c>
      <c r="F18" s="3">
        <f t="shared" si="2"/>
        <v>7830.35</v>
      </c>
      <c r="G18" s="11">
        <f>D18/C18</f>
        <v>5.0423181713794699E-4</v>
      </c>
      <c r="H18" s="11">
        <f>E18/C18</f>
        <v>3.6621406258331005E-2</v>
      </c>
      <c r="I18" s="3">
        <v>28801</v>
      </c>
      <c r="J18" s="12">
        <f>SUM(D18,I18)</f>
        <v>28907.35</v>
      </c>
    </row>
    <row r="19" spans="2:33" x14ac:dyDescent="0.5">
      <c r="B19" s="522"/>
      <c r="C19" s="526"/>
      <c r="D19" s="526"/>
      <c r="E19" s="526"/>
      <c r="F19" s="523"/>
      <c r="G19" s="527"/>
      <c r="H19" s="527"/>
      <c r="I19" s="189"/>
      <c r="J19" s="528"/>
    </row>
    <row r="20" spans="2:33" x14ac:dyDescent="0.5">
      <c r="B20" t="s">
        <v>175</v>
      </c>
    </row>
    <row r="21" spans="2:33" x14ac:dyDescent="0.5">
      <c r="B21" t="s">
        <v>176</v>
      </c>
    </row>
    <row r="22" spans="2:33" x14ac:dyDescent="0.5">
      <c r="B22" t="s">
        <v>177</v>
      </c>
    </row>
    <row r="25" spans="2:33" ht="13.2" thickBot="1" x14ac:dyDescent="0.55000000000000004">
      <c r="B25" s="424">
        <v>42662</v>
      </c>
      <c r="C25" s="425"/>
      <c r="D25" s="425"/>
      <c r="E25" s="425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236"/>
      <c r="T25" s="236"/>
      <c r="U25" s="236"/>
      <c r="V25" s="236"/>
      <c r="W25" s="236"/>
      <c r="X25" s="236"/>
      <c r="Y25" s="236"/>
      <c r="Z25" s="236"/>
      <c r="AA25" s="236"/>
      <c r="AB25" s="236"/>
      <c r="AC25" s="236"/>
      <c r="AD25" s="236"/>
      <c r="AE25" s="236"/>
      <c r="AF25" s="236"/>
      <c r="AG25" s="236"/>
    </row>
    <row r="26" spans="2:33" ht="13.2" thickTop="1" x14ac:dyDescent="0.5">
      <c r="B26" s="368" t="s">
        <v>133</v>
      </c>
      <c r="C26" s="369"/>
      <c r="D26" s="369"/>
      <c r="E26" s="369"/>
      <c r="F26" s="369"/>
      <c r="G26" s="369"/>
      <c r="H26" s="369"/>
      <c r="I26" s="369"/>
      <c r="J26" s="369"/>
      <c r="K26" s="369"/>
      <c r="L26" s="369"/>
      <c r="M26" s="369"/>
      <c r="N26" s="369"/>
      <c r="O26" s="369"/>
      <c r="P26" s="369"/>
      <c r="Q26" s="369"/>
      <c r="R26" s="369"/>
      <c r="S26" s="370"/>
      <c r="T26" s="370"/>
      <c r="U26" s="370"/>
      <c r="V26" s="370"/>
      <c r="W26" s="370"/>
      <c r="X26" s="370"/>
      <c r="Y26" s="370"/>
      <c r="Z26" s="370"/>
      <c r="AA26" s="370"/>
      <c r="AB26" s="370"/>
      <c r="AC26" s="370"/>
      <c r="AD26" s="370"/>
      <c r="AE26" s="370"/>
      <c r="AF26" s="370"/>
      <c r="AG26" s="371"/>
    </row>
    <row r="27" spans="2:33" ht="13.2" thickBot="1" x14ac:dyDescent="0.55000000000000004">
      <c r="B27" s="372"/>
      <c r="C27" s="373"/>
      <c r="D27" s="373"/>
      <c r="E27" s="373"/>
      <c r="F27" s="373"/>
      <c r="G27" s="373"/>
      <c r="H27" s="373"/>
      <c r="I27" s="373"/>
      <c r="J27" s="373"/>
      <c r="K27" s="373"/>
      <c r="L27" s="373"/>
      <c r="M27" s="373"/>
      <c r="N27" s="373"/>
      <c r="O27" s="373"/>
      <c r="P27" s="373"/>
      <c r="Q27" s="373"/>
      <c r="R27" s="373"/>
      <c r="S27" s="374"/>
      <c r="T27" s="374"/>
      <c r="U27" s="374"/>
      <c r="V27" s="374"/>
      <c r="W27" s="374"/>
      <c r="X27" s="374"/>
      <c r="Y27" s="374"/>
      <c r="Z27" s="374"/>
      <c r="AA27" s="374"/>
      <c r="AB27" s="374"/>
      <c r="AC27" s="374"/>
      <c r="AD27" s="374"/>
      <c r="AE27" s="374"/>
      <c r="AF27" s="374"/>
      <c r="AG27" s="375"/>
    </row>
    <row r="28" spans="2:33" ht="13.2" thickTop="1" x14ac:dyDescent="0.5">
      <c r="B28" s="376"/>
      <c r="C28" s="369"/>
      <c r="D28" s="369"/>
      <c r="E28" s="369"/>
      <c r="F28" s="369"/>
      <c r="G28" s="369"/>
      <c r="H28" s="377"/>
      <c r="I28" s="377"/>
      <c r="J28" s="377"/>
      <c r="K28" s="377"/>
      <c r="L28" s="369"/>
      <c r="M28" s="369"/>
      <c r="N28" s="369"/>
      <c r="O28" s="369"/>
      <c r="P28" s="377"/>
      <c r="Q28" s="377"/>
      <c r="R28" s="377"/>
      <c r="S28" s="236"/>
      <c r="T28" s="236"/>
      <c r="U28" s="236"/>
      <c r="V28" s="236"/>
      <c r="W28" s="236"/>
      <c r="X28" s="236"/>
      <c r="Y28" s="236"/>
      <c r="Z28" s="236"/>
      <c r="AA28" s="236"/>
      <c r="AB28" s="236"/>
      <c r="AC28" s="236"/>
      <c r="AD28" s="236"/>
      <c r="AE28" s="236"/>
      <c r="AF28" s="236"/>
      <c r="AG28" s="378"/>
    </row>
    <row r="29" spans="2:33" x14ac:dyDescent="0.5">
      <c r="B29" s="379"/>
      <c r="C29" s="380" t="s">
        <v>134</v>
      </c>
      <c r="D29" s="380"/>
      <c r="E29" s="380"/>
      <c r="F29" s="380"/>
      <c r="G29" s="380"/>
      <c r="H29" s="380"/>
      <c r="I29" s="380"/>
      <c r="J29" s="380"/>
      <c r="K29" s="381"/>
      <c r="L29" s="382"/>
      <c r="M29" s="382"/>
      <c r="N29" s="380" t="s">
        <v>135</v>
      </c>
      <c r="O29" s="380"/>
      <c r="P29" s="380"/>
      <c r="Q29" s="380"/>
      <c r="R29" s="380"/>
      <c r="S29" s="236"/>
      <c r="T29" s="236"/>
      <c r="U29" s="236"/>
      <c r="V29" s="687" t="s">
        <v>136</v>
      </c>
      <c r="W29" s="687"/>
      <c r="X29" s="687"/>
      <c r="Y29" s="687"/>
      <c r="Z29" s="687"/>
      <c r="AA29" s="687"/>
      <c r="AB29" s="687"/>
      <c r="AC29" s="687"/>
      <c r="AD29" s="687"/>
      <c r="AE29" s="695"/>
      <c r="AF29" s="695"/>
      <c r="AG29" s="696"/>
    </row>
    <row r="30" spans="2:33" x14ac:dyDescent="0.5">
      <c r="B30" s="383"/>
      <c r="C30" s="384"/>
      <c r="D30" s="384"/>
      <c r="E30" s="384"/>
      <c r="F30" s="384"/>
      <c r="G30" s="384"/>
      <c r="H30" s="384"/>
      <c r="I30" s="384"/>
      <c r="J30" s="689" t="s">
        <v>137</v>
      </c>
      <c r="K30" s="384"/>
      <c r="L30" s="384"/>
      <c r="M30" s="385" t="s">
        <v>64</v>
      </c>
      <c r="N30" s="384"/>
      <c r="O30" s="384"/>
      <c r="P30" s="384"/>
      <c r="Q30" s="386"/>
      <c r="R30" s="190"/>
      <c r="S30" s="236"/>
      <c r="T30" s="236"/>
      <c r="U30" s="236"/>
      <c r="V30" s="387"/>
      <c r="W30" s="387"/>
      <c r="X30" s="387"/>
      <c r="Y30" s="387"/>
      <c r="Z30" s="387"/>
      <c r="AA30" s="387"/>
      <c r="AB30" s="387"/>
      <c r="AC30" s="387"/>
      <c r="AD30" s="387"/>
      <c r="AE30" s="236"/>
      <c r="AF30" s="236"/>
      <c r="AG30" s="378"/>
    </row>
    <row r="31" spans="2:33" x14ac:dyDescent="0.5">
      <c r="B31" s="383"/>
      <c r="C31" s="687" t="s">
        <v>138</v>
      </c>
      <c r="D31" s="692"/>
      <c r="E31" s="508" t="s">
        <v>139</v>
      </c>
      <c r="F31" s="384" t="s">
        <v>73</v>
      </c>
      <c r="G31" s="384"/>
      <c r="H31" s="388" t="s">
        <v>140</v>
      </c>
      <c r="I31" s="507"/>
      <c r="J31" s="690"/>
      <c r="K31" s="389"/>
      <c r="L31" s="384"/>
      <c r="M31" s="390" t="s">
        <v>141</v>
      </c>
      <c r="N31" s="1"/>
      <c r="O31" s="384"/>
      <c r="P31" s="384"/>
      <c r="Q31" s="384"/>
      <c r="R31" s="367"/>
      <c r="S31" s="236"/>
      <c r="T31" s="236"/>
      <c r="U31" s="236"/>
      <c r="V31" s="391"/>
      <c r="W31" s="391"/>
      <c r="X31" s="391"/>
      <c r="Y31" s="391"/>
      <c r="Z31" s="391"/>
      <c r="AA31" s="391"/>
      <c r="AB31" s="391"/>
      <c r="AC31" s="391"/>
      <c r="AD31" s="687" t="s">
        <v>142</v>
      </c>
      <c r="AE31" s="687"/>
      <c r="AF31" s="687"/>
      <c r="AG31" s="378"/>
    </row>
    <row r="32" spans="2:33" ht="62.1" x14ac:dyDescent="0.5">
      <c r="B32" s="392" t="s">
        <v>55</v>
      </c>
      <c r="C32" s="393" t="s">
        <v>143</v>
      </c>
      <c r="D32" s="393" t="s">
        <v>144</v>
      </c>
      <c r="E32" s="393"/>
      <c r="F32" s="394" t="s">
        <v>145</v>
      </c>
      <c r="G32" s="506" t="s">
        <v>146</v>
      </c>
      <c r="H32" s="393" t="s">
        <v>143</v>
      </c>
      <c r="I32" s="393" t="s">
        <v>144</v>
      </c>
      <c r="J32" s="691"/>
      <c r="K32" s="506" t="s">
        <v>147</v>
      </c>
      <c r="L32" s="394"/>
      <c r="M32" s="388" t="s">
        <v>66</v>
      </c>
      <c r="N32" s="395" t="s">
        <v>138</v>
      </c>
      <c r="O32" s="396" t="s">
        <v>148</v>
      </c>
      <c r="P32" s="506" t="s">
        <v>149</v>
      </c>
      <c r="Q32" s="396" t="s">
        <v>150</v>
      </c>
      <c r="R32" s="506" t="s">
        <v>151</v>
      </c>
      <c r="S32" s="236"/>
      <c r="T32" s="505" t="s">
        <v>152</v>
      </c>
      <c r="U32" s="505" t="s">
        <v>153</v>
      </c>
      <c r="V32" s="397" t="s">
        <v>154</v>
      </c>
      <c r="W32" s="398" t="s">
        <v>155</v>
      </c>
      <c r="X32" s="398" t="s">
        <v>156</v>
      </c>
      <c r="Y32" s="398" t="s">
        <v>157</v>
      </c>
      <c r="Z32" s="398" t="s">
        <v>158</v>
      </c>
      <c r="AA32" s="398" t="s">
        <v>159</v>
      </c>
      <c r="AB32" s="398"/>
      <c r="AC32" s="505" t="s">
        <v>160</v>
      </c>
      <c r="AD32" s="500" t="s">
        <v>161</v>
      </c>
      <c r="AE32" s="500" t="s">
        <v>90</v>
      </c>
      <c r="AF32" s="501" t="s">
        <v>79</v>
      </c>
      <c r="AG32" s="399" t="s">
        <v>162</v>
      </c>
    </row>
    <row r="33" spans="2:53" x14ac:dyDescent="0.5">
      <c r="B33" s="400"/>
      <c r="C33" s="382"/>
      <c r="D33" s="382"/>
      <c r="E33" s="382"/>
      <c r="F33" s="382"/>
      <c r="G33" s="382"/>
      <c r="H33" s="382"/>
      <c r="I33" s="382"/>
      <c r="J33" s="382"/>
      <c r="K33" s="382"/>
      <c r="L33" s="382"/>
      <c r="M33" s="382"/>
      <c r="N33" s="382"/>
      <c r="O33" s="382"/>
      <c r="P33" s="382"/>
      <c r="Q33" s="382"/>
      <c r="R33" s="503"/>
      <c r="S33" s="236"/>
      <c r="T33" s="236"/>
      <c r="U33" s="236"/>
      <c r="V33" s="236"/>
      <c r="W33" s="236"/>
      <c r="X33" s="236"/>
      <c r="Y33" s="236"/>
      <c r="Z33" s="236"/>
      <c r="AA33" s="236"/>
      <c r="AB33" s="236"/>
      <c r="AC33" s="236"/>
      <c r="AD33" s="236"/>
      <c r="AE33" s="236"/>
      <c r="AF33" s="236"/>
      <c r="AG33" s="378"/>
    </row>
    <row r="34" spans="2:53" x14ac:dyDescent="0.5">
      <c r="B34" s="400">
        <v>1979</v>
      </c>
      <c r="C34" s="403">
        <v>0</v>
      </c>
      <c r="D34" s="403">
        <v>0</v>
      </c>
      <c r="E34" s="403"/>
      <c r="F34" s="403">
        <v>53</v>
      </c>
      <c r="G34" s="403"/>
      <c r="H34" s="403">
        <v>0</v>
      </c>
      <c r="I34" s="403">
        <v>0</v>
      </c>
      <c r="J34" s="403">
        <f>SUM(C34:I34)</f>
        <v>53</v>
      </c>
      <c r="K34" s="403"/>
      <c r="L34" s="403"/>
      <c r="M34" s="403">
        <v>0</v>
      </c>
      <c r="N34" s="403">
        <v>1</v>
      </c>
      <c r="O34" s="403">
        <v>114</v>
      </c>
      <c r="P34" s="403"/>
      <c r="Q34" s="403"/>
      <c r="R34" s="201">
        <f t="shared" ref="R34:R64" si="4">SUM(N34:Q34)</f>
        <v>115</v>
      </c>
      <c r="S34" s="236"/>
      <c r="T34" s="236"/>
      <c r="U34" s="236"/>
      <c r="V34" s="236">
        <v>0</v>
      </c>
      <c r="W34" s="236"/>
      <c r="X34" s="236"/>
      <c r="Y34" s="236"/>
      <c r="Z34" s="236"/>
      <c r="AA34" s="236"/>
      <c r="AB34" s="236"/>
      <c r="AC34" s="236"/>
      <c r="AD34" s="236"/>
      <c r="AE34" s="402"/>
      <c r="AF34" s="402"/>
      <c r="AG34" s="378"/>
    </row>
    <row r="35" spans="2:53" x14ac:dyDescent="0.5">
      <c r="B35" s="400">
        <f t="shared" ref="B35:B49" si="5">B34+1</f>
        <v>1980</v>
      </c>
      <c r="C35" s="403">
        <v>0</v>
      </c>
      <c r="D35" s="403">
        <v>0</v>
      </c>
      <c r="E35" s="403"/>
      <c r="F35" s="403">
        <v>4</v>
      </c>
      <c r="G35" s="403"/>
      <c r="H35" s="403">
        <v>0</v>
      </c>
      <c r="I35" s="403">
        <v>0</v>
      </c>
      <c r="J35" s="403">
        <f t="shared" ref="J35:J65" si="6">SUM(C35:I35)</f>
        <v>4</v>
      </c>
      <c r="K35" s="403"/>
      <c r="L35" s="403"/>
      <c r="M35" s="403">
        <v>0</v>
      </c>
      <c r="N35" s="403">
        <v>14</v>
      </c>
      <c r="O35" s="403">
        <v>622</v>
      </c>
      <c r="P35" s="403"/>
      <c r="Q35" s="403"/>
      <c r="R35" s="201">
        <f t="shared" si="4"/>
        <v>636</v>
      </c>
      <c r="S35" s="236"/>
      <c r="T35" s="236"/>
      <c r="U35" s="236"/>
      <c r="V35" s="236">
        <v>0</v>
      </c>
      <c r="W35" s="236"/>
      <c r="X35" s="236"/>
      <c r="Y35" s="236"/>
      <c r="Z35" s="236"/>
      <c r="AA35" s="236"/>
      <c r="AB35" s="236"/>
      <c r="AC35" s="236"/>
      <c r="AD35" s="236"/>
      <c r="AE35" s="426">
        <v>33</v>
      </c>
      <c r="AF35" s="402"/>
      <c r="AG35" s="378"/>
    </row>
    <row r="36" spans="2:53" x14ac:dyDescent="0.5">
      <c r="B36" s="400">
        <f t="shared" si="5"/>
        <v>1981</v>
      </c>
      <c r="C36" s="403">
        <v>0</v>
      </c>
      <c r="D36" s="403">
        <v>0</v>
      </c>
      <c r="E36" s="403"/>
      <c r="F36" s="403">
        <v>0</v>
      </c>
      <c r="G36" s="403"/>
      <c r="H36" s="403">
        <v>0</v>
      </c>
      <c r="I36" s="403">
        <v>0</v>
      </c>
      <c r="J36" s="403">
        <f t="shared" si="6"/>
        <v>0</v>
      </c>
      <c r="K36" s="403"/>
      <c r="L36" s="403"/>
      <c r="M36" s="403">
        <v>0</v>
      </c>
      <c r="N36" s="403">
        <v>7</v>
      </c>
      <c r="O36" s="403">
        <v>1160</v>
      </c>
      <c r="P36" s="403">
        <v>340</v>
      </c>
      <c r="Q36" s="403"/>
      <c r="R36" s="201">
        <f t="shared" si="4"/>
        <v>1507</v>
      </c>
      <c r="S36" s="236"/>
      <c r="T36" s="236"/>
      <c r="U36" s="236"/>
      <c r="V36" s="236">
        <v>0</v>
      </c>
      <c r="W36" s="236"/>
      <c r="X36" s="236"/>
      <c r="Y36" s="236"/>
      <c r="Z36" s="236"/>
      <c r="AA36" s="236"/>
      <c r="AB36" s="236"/>
      <c r="AC36" s="236"/>
      <c r="AD36" s="236"/>
      <c r="AE36" s="426">
        <v>230</v>
      </c>
      <c r="AF36" s="402"/>
      <c r="AG36" s="378"/>
    </row>
    <row r="37" spans="2:53" x14ac:dyDescent="0.5">
      <c r="B37" s="400">
        <f t="shared" si="5"/>
        <v>1982</v>
      </c>
      <c r="C37" s="403">
        <v>0</v>
      </c>
      <c r="D37" s="403">
        <v>0</v>
      </c>
      <c r="E37" s="403"/>
      <c r="F37" s="403">
        <v>20</v>
      </c>
      <c r="G37" s="403"/>
      <c r="H37" s="403">
        <v>80</v>
      </c>
      <c r="I37" s="403">
        <v>0</v>
      </c>
      <c r="J37" s="403">
        <f t="shared" si="6"/>
        <v>100</v>
      </c>
      <c r="K37" s="403"/>
      <c r="L37" s="403"/>
      <c r="M37" s="403">
        <v>0</v>
      </c>
      <c r="N37" s="403">
        <v>130</v>
      </c>
      <c r="O37" s="403">
        <v>645</v>
      </c>
      <c r="P37" s="403"/>
      <c r="Q37" s="403"/>
      <c r="R37" s="201">
        <f t="shared" si="4"/>
        <v>775</v>
      </c>
      <c r="S37" s="236"/>
      <c r="T37" s="236"/>
      <c r="U37" s="236"/>
      <c r="V37" s="236">
        <v>0</v>
      </c>
      <c r="W37" s="236"/>
      <c r="X37" s="236"/>
      <c r="Y37" s="236"/>
      <c r="Z37" s="236"/>
      <c r="AA37" s="236"/>
      <c r="AB37" s="236"/>
      <c r="AC37" s="236"/>
      <c r="AD37" s="236"/>
      <c r="AE37" s="426">
        <v>140</v>
      </c>
      <c r="AF37" s="402"/>
      <c r="AG37" s="378"/>
    </row>
    <row r="38" spans="2:53" x14ac:dyDescent="0.5">
      <c r="B38" s="400">
        <f t="shared" si="5"/>
        <v>1983</v>
      </c>
      <c r="C38" s="403">
        <v>0</v>
      </c>
      <c r="D38" s="403">
        <v>0</v>
      </c>
      <c r="E38" s="403"/>
      <c r="F38" s="403">
        <v>40</v>
      </c>
      <c r="G38" s="403"/>
      <c r="H38" s="403">
        <v>43</v>
      </c>
      <c r="I38" s="403">
        <v>0</v>
      </c>
      <c r="J38" s="403">
        <f t="shared" si="6"/>
        <v>83</v>
      </c>
      <c r="K38" s="403"/>
      <c r="L38" s="403"/>
      <c r="M38" s="403">
        <v>0</v>
      </c>
      <c r="N38" s="403">
        <v>1844</v>
      </c>
      <c r="O38" s="403">
        <v>1388</v>
      </c>
      <c r="P38" s="403">
        <v>112</v>
      </c>
      <c r="Q38" s="403">
        <v>5</v>
      </c>
      <c r="R38" s="201">
        <f>SUM(N38:Q38)</f>
        <v>3349</v>
      </c>
      <c r="S38" s="236"/>
      <c r="T38" s="236"/>
      <c r="U38" s="236"/>
      <c r="V38" s="236">
        <v>0</v>
      </c>
      <c r="W38" s="236"/>
      <c r="X38" s="236"/>
      <c r="Y38" s="236"/>
      <c r="Z38" s="236"/>
      <c r="AA38" s="236"/>
      <c r="AB38" s="236"/>
      <c r="AC38" s="236"/>
      <c r="AD38" s="236"/>
      <c r="AE38" s="426">
        <v>228</v>
      </c>
      <c r="AF38" s="402"/>
      <c r="AG38" s="378"/>
    </row>
    <row r="39" spans="2:53" x14ac:dyDescent="0.5">
      <c r="B39" s="400">
        <f t="shared" si="5"/>
        <v>1984</v>
      </c>
      <c r="C39" s="403">
        <v>9099</v>
      </c>
      <c r="D39" s="403">
        <v>0</v>
      </c>
      <c r="E39" s="403"/>
      <c r="F39" s="403">
        <v>20</v>
      </c>
      <c r="G39" s="403"/>
      <c r="H39" s="403">
        <v>226</v>
      </c>
      <c r="I39" s="403">
        <v>0</v>
      </c>
      <c r="J39" s="403">
        <f t="shared" si="6"/>
        <v>9345</v>
      </c>
      <c r="K39" s="403"/>
      <c r="L39" s="403"/>
      <c r="M39" s="403">
        <v>0</v>
      </c>
      <c r="N39" s="403">
        <v>22436</v>
      </c>
      <c r="O39" s="403">
        <v>2131</v>
      </c>
      <c r="P39" s="403"/>
      <c r="Q39" s="403">
        <v>49</v>
      </c>
      <c r="R39" s="201">
        <f t="shared" si="4"/>
        <v>24616</v>
      </c>
      <c r="S39" s="236"/>
      <c r="T39" s="236"/>
      <c r="U39" s="236"/>
      <c r="V39" s="236">
        <v>0</v>
      </c>
      <c r="W39" s="236"/>
      <c r="X39" s="236"/>
      <c r="Y39" s="236"/>
      <c r="Z39" s="236"/>
      <c r="AA39" s="236"/>
      <c r="AB39" s="236"/>
      <c r="AC39" s="236"/>
      <c r="AD39" s="236"/>
      <c r="AE39" s="426">
        <v>48</v>
      </c>
      <c r="AF39" s="402"/>
      <c r="AG39" s="378"/>
    </row>
    <row r="40" spans="2:53" x14ac:dyDescent="0.5">
      <c r="B40" s="400">
        <f t="shared" si="5"/>
        <v>1985</v>
      </c>
      <c r="C40" s="403">
        <v>31902</v>
      </c>
      <c r="D40" s="403">
        <v>0</v>
      </c>
      <c r="E40" s="403"/>
      <c r="F40" s="403">
        <v>120</v>
      </c>
      <c r="G40" s="403"/>
      <c r="H40" s="403">
        <v>191</v>
      </c>
      <c r="I40" s="403">
        <v>0</v>
      </c>
      <c r="J40" s="403">
        <f t="shared" si="6"/>
        <v>32213</v>
      </c>
      <c r="K40" s="403"/>
      <c r="L40" s="403"/>
      <c r="M40" s="403">
        <v>0</v>
      </c>
      <c r="N40" s="403">
        <v>49393</v>
      </c>
      <c r="O40" s="403">
        <v>576</v>
      </c>
      <c r="P40" s="403"/>
      <c r="Q40" s="403">
        <v>0</v>
      </c>
      <c r="R40" s="201">
        <f t="shared" si="4"/>
        <v>49969</v>
      </c>
      <c r="S40" s="236"/>
      <c r="T40" s="236"/>
      <c r="U40" s="236"/>
      <c r="V40" s="236">
        <v>0</v>
      </c>
      <c r="W40" s="236"/>
      <c r="X40" s="236"/>
      <c r="Y40" s="236"/>
      <c r="Z40" s="236"/>
      <c r="AA40" s="236"/>
      <c r="AB40" s="236"/>
      <c r="AC40" s="236"/>
      <c r="AD40" s="236"/>
      <c r="AE40" s="426">
        <v>44</v>
      </c>
      <c r="AF40" s="402"/>
      <c r="AG40" s="378"/>
    </row>
    <row r="41" spans="2:53" x14ac:dyDescent="0.5">
      <c r="B41" s="400">
        <f t="shared" si="5"/>
        <v>1986</v>
      </c>
      <c r="C41" s="403">
        <v>1765</v>
      </c>
      <c r="D41" s="403">
        <v>0</v>
      </c>
      <c r="E41" s="403"/>
      <c r="F41" s="403">
        <v>50</v>
      </c>
      <c r="G41" s="403"/>
      <c r="H41" s="403">
        <v>25</v>
      </c>
      <c r="I41" s="403">
        <v>0</v>
      </c>
      <c r="J41" s="403">
        <f t="shared" si="6"/>
        <v>1840</v>
      </c>
      <c r="K41" s="403"/>
      <c r="L41" s="403"/>
      <c r="M41" s="403">
        <v>0</v>
      </c>
      <c r="N41" s="403">
        <v>4272</v>
      </c>
      <c r="O41" s="403">
        <v>2400</v>
      </c>
      <c r="P41" s="403"/>
      <c r="Q41" s="403">
        <v>0</v>
      </c>
      <c r="R41" s="201">
        <f t="shared" si="4"/>
        <v>6672</v>
      </c>
      <c r="S41" s="236"/>
      <c r="T41" s="236"/>
      <c r="U41" s="236"/>
      <c r="V41" s="236">
        <v>0</v>
      </c>
      <c r="W41" s="236"/>
      <c r="X41" s="236"/>
      <c r="Y41" s="236"/>
      <c r="Z41" s="236"/>
      <c r="AA41" s="236"/>
      <c r="AB41" s="236"/>
      <c r="AC41" s="236"/>
      <c r="AD41" s="236"/>
      <c r="AE41" s="426">
        <v>94</v>
      </c>
      <c r="AF41" s="402"/>
      <c r="AG41" s="378"/>
    </row>
    <row r="42" spans="2:53" ht="13.2" thickBot="1" x14ac:dyDescent="0.55000000000000004">
      <c r="B42" s="400">
        <f t="shared" si="5"/>
        <v>1987</v>
      </c>
      <c r="C42" s="403">
        <v>28288</v>
      </c>
      <c r="D42" s="403">
        <v>0</v>
      </c>
      <c r="E42" s="403"/>
      <c r="F42" s="403">
        <v>240</v>
      </c>
      <c r="G42" s="403"/>
      <c r="H42" s="403">
        <v>25</v>
      </c>
      <c r="I42" s="403">
        <v>0</v>
      </c>
      <c r="J42" s="403">
        <f t="shared" si="6"/>
        <v>28553</v>
      </c>
      <c r="K42" s="403"/>
      <c r="L42" s="403"/>
      <c r="M42" s="403">
        <v>0</v>
      </c>
      <c r="N42" s="403">
        <v>39390</v>
      </c>
      <c r="O42" s="403">
        <v>100</v>
      </c>
      <c r="P42" s="403"/>
      <c r="Q42" s="403">
        <v>70</v>
      </c>
      <c r="R42" s="201">
        <f t="shared" si="4"/>
        <v>39560</v>
      </c>
      <c r="S42" s="236"/>
      <c r="T42" s="236"/>
      <c r="U42" s="236"/>
      <c r="V42" s="236">
        <v>0</v>
      </c>
      <c r="W42" s="236"/>
      <c r="X42" s="236"/>
      <c r="Y42" s="236"/>
      <c r="Z42" s="236"/>
      <c r="AA42" s="236"/>
      <c r="AB42" s="236"/>
      <c r="AC42" s="236"/>
      <c r="AD42" s="236"/>
      <c r="AE42" s="426">
        <v>68</v>
      </c>
      <c r="AF42" s="402"/>
      <c r="AG42" s="378"/>
    </row>
    <row r="43" spans="2:53" ht="17.25" customHeight="1" thickBot="1" x14ac:dyDescent="0.6">
      <c r="B43" s="400">
        <f t="shared" si="5"/>
        <v>1988</v>
      </c>
      <c r="C43" s="403">
        <v>17547</v>
      </c>
      <c r="D43" s="403">
        <v>0</v>
      </c>
      <c r="E43" s="403"/>
      <c r="F43" s="403">
        <v>60</v>
      </c>
      <c r="G43" s="403"/>
      <c r="H43" s="403">
        <v>25</v>
      </c>
      <c r="I43" s="403">
        <v>0</v>
      </c>
      <c r="J43" s="403">
        <f t="shared" si="6"/>
        <v>17632</v>
      </c>
      <c r="K43" s="403"/>
      <c r="L43" s="403"/>
      <c r="M43" s="403">
        <v>0</v>
      </c>
      <c r="N43" s="403">
        <v>30570</v>
      </c>
      <c r="O43" s="403">
        <v>0</v>
      </c>
      <c r="P43" s="403"/>
      <c r="Q43" s="403">
        <v>420</v>
      </c>
      <c r="R43" s="201">
        <f t="shared" si="4"/>
        <v>30990</v>
      </c>
      <c r="S43" s="236"/>
      <c r="T43" s="236"/>
      <c r="U43" s="236"/>
      <c r="V43" s="236">
        <v>0</v>
      </c>
      <c r="W43" s="236"/>
      <c r="X43" s="236"/>
      <c r="Y43" s="236"/>
      <c r="Z43" s="236"/>
      <c r="AA43" s="236"/>
      <c r="AB43" s="236"/>
      <c r="AC43" s="236"/>
      <c r="AD43" s="236"/>
      <c r="AE43" s="426">
        <v>25</v>
      </c>
      <c r="AF43" s="402"/>
      <c r="AG43" s="378"/>
      <c r="AW43" s="202" t="s">
        <v>153</v>
      </c>
      <c r="AX43" s="202" t="s">
        <v>154</v>
      </c>
      <c r="AY43" s="202" t="s">
        <v>178</v>
      </c>
      <c r="AZ43" s="202" t="s">
        <v>81</v>
      </c>
      <c r="BA43" s="202" t="s">
        <v>79</v>
      </c>
    </row>
    <row r="44" spans="2:53" ht="14.7" thickBot="1" x14ac:dyDescent="0.6">
      <c r="B44" s="400">
        <f t="shared" si="5"/>
        <v>1989</v>
      </c>
      <c r="C44" s="403">
        <v>0</v>
      </c>
      <c r="D44" s="403">
        <v>0</v>
      </c>
      <c r="E44" s="403"/>
      <c r="F44" s="403">
        <v>0</v>
      </c>
      <c r="G44" s="403"/>
      <c r="H44" s="403">
        <v>36</v>
      </c>
      <c r="I44" s="403">
        <v>0</v>
      </c>
      <c r="J44" s="403">
        <f t="shared" si="6"/>
        <v>36</v>
      </c>
      <c r="K44" s="403"/>
      <c r="L44" s="403"/>
      <c r="M44" s="403">
        <v>0</v>
      </c>
      <c r="N44" s="403">
        <v>0</v>
      </c>
      <c r="O44" s="403">
        <v>1655</v>
      </c>
      <c r="P44" s="403">
        <v>445</v>
      </c>
      <c r="Q44" s="403">
        <v>38</v>
      </c>
      <c r="R44" s="201">
        <f t="shared" si="4"/>
        <v>2138</v>
      </c>
      <c r="S44" s="236"/>
      <c r="T44" s="236"/>
      <c r="U44" s="236"/>
      <c r="V44" s="236">
        <v>0</v>
      </c>
      <c r="W44" s="236"/>
      <c r="X44" s="236"/>
      <c r="Y44" s="236"/>
      <c r="Z44" s="236"/>
      <c r="AA44" s="236"/>
      <c r="AB44" s="236"/>
      <c r="AC44" s="236"/>
      <c r="AD44" s="236"/>
      <c r="AE44" s="426">
        <v>24</v>
      </c>
      <c r="AF44" s="402"/>
      <c r="AG44" s="378"/>
      <c r="AW44" s="203">
        <v>26</v>
      </c>
      <c r="AX44" s="203">
        <v>346</v>
      </c>
      <c r="AY44" s="204">
        <v>4521</v>
      </c>
      <c r="AZ44" s="204">
        <v>1024</v>
      </c>
      <c r="BA44" s="203">
        <v>199</v>
      </c>
    </row>
    <row r="45" spans="2:53" x14ac:dyDescent="0.5">
      <c r="B45" s="400">
        <f t="shared" si="5"/>
        <v>1990</v>
      </c>
      <c r="C45" s="403">
        <v>0</v>
      </c>
      <c r="D45" s="403">
        <v>0</v>
      </c>
      <c r="E45" s="403"/>
      <c r="F45" s="403">
        <v>0</v>
      </c>
      <c r="G45" s="403"/>
      <c r="H45" s="403">
        <v>173</v>
      </c>
      <c r="I45" s="403">
        <v>0</v>
      </c>
      <c r="J45" s="403">
        <f t="shared" si="6"/>
        <v>173</v>
      </c>
      <c r="K45" s="403"/>
      <c r="L45" s="403"/>
      <c r="M45" s="403">
        <v>0</v>
      </c>
      <c r="N45" s="403">
        <v>0</v>
      </c>
      <c r="O45" s="403">
        <v>1498</v>
      </c>
      <c r="P45" s="403">
        <v>1216</v>
      </c>
      <c r="Q45" s="403">
        <v>2</v>
      </c>
      <c r="R45" s="201">
        <f>SUM(N45:Q45)</f>
        <v>2716</v>
      </c>
      <c r="S45" s="236"/>
      <c r="T45" s="236"/>
      <c r="U45" s="236"/>
      <c r="V45" s="236">
        <v>0</v>
      </c>
      <c r="W45" s="236"/>
      <c r="X45" s="236"/>
      <c r="Y45" s="236"/>
      <c r="Z45" s="236"/>
      <c r="AA45" s="236"/>
      <c r="AB45" s="236"/>
      <c r="AC45" s="236"/>
      <c r="AD45" s="236"/>
      <c r="AE45" s="426">
        <v>21</v>
      </c>
      <c r="AF45" s="402"/>
      <c r="AG45" s="378"/>
    </row>
    <row r="46" spans="2:53" x14ac:dyDescent="0.5">
      <c r="B46" s="400">
        <f t="shared" si="5"/>
        <v>1991</v>
      </c>
      <c r="C46" s="403">
        <v>0</v>
      </c>
      <c r="D46" s="403">
        <v>0</v>
      </c>
      <c r="E46" s="403"/>
      <c r="F46" s="403">
        <v>0</v>
      </c>
      <c r="G46" s="403"/>
      <c r="H46" s="403">
        <v>3</v>
      </c>
      <c r="I46" s="403">
        <v>0</v>
      </c>
      <c r="J46" s="403">
        <f t="shared" si="6"/>
        <v>3</v>
      </c>
      <c r="K46" s="403"/>
      <c r="L46" s="403"/>
      <c r="M46" s="403">
        <v>0</v>
      </c>
      <c r="N46" s="403">
        <v>0</v>
      </c>
      <c r="O46" s="403">
        <v>0</v>
      </c>
      <c r="P46" s="403">
        <v>3266</v>
      </c>
      <c r="Q46" s="403">
        <v>5</v>
      </c>
      <c r="R46" s="201">
        <f t="shared" si="4"/>
        <v>3271</v>
      </c>
      <c r="S46" s="236"/>
      <c r="T46" s="236"/>
      <c r="U46" s="236"/>
      <c r="V46" s="236">
        <v>0</v>
      </c>
      <c r="W46" s="236"/>
      <c r="X46" s="236"/>
      <c r="Y46" s="236"/>
      <c r="Z46" s="236"/>
      <c r="AA46" s="236"/>
      <c r="AB46" s="236"/>
      <c r="AC46" s="236"/>
      <c r="AD46" s="236"/>
      <c r="AE46" s="426">
        <v>26</v>
      </c>
      <c r="AF46" s="402"/>
      <c r="AG46" s="378"/>
    </row>
    <row r="47" spans="2:53" x14ac:dyDescent="0.5">
      <c r="B47" s="400">
        <f t="shared" si="5"/>
        <v>1992</v>
      </c>
      <c r="C47" s="403">
        <v>0</v>
      </c>
      <c r="D47" s="403">
        <v>0</v>
      </c>
      <c r="E47" s="403"/>
      <c r="F47" s="403">
        <v>0</v>
      </c>
      <c r="G47" s="403"/>
      <c r="H47" s="403">
        <v>8</v>
      </c>
      <c r="I47" s="403">
        <v>0</v>
      </c>
      <c r="J47" s="403">
        <f t="shared" si="6"/>
        <v>8</v>
      </c>
      <c r="K47" s="403"/>
      <c r="L47" s="403"/>
      <c r="M47" s="403">
        <v>0</v>
      </c>
      <c r="N47" s="403">
        <v>0</v>
      </c>
      <c r="O47" s="403">
        <v>0</v>
      </c>
      <c r="P47" s="403">
        <v>2180</v>
      </c>
      <c r="Q47" s="403">
        <v>5</v>
      </c>
      <c r="R47" s="201">
        <f t="shared" si="4"/>
        <v>2185</v>
      </c>
      <c r="S47" s="236"/>
      <c r="T47" s="236"/>
      <c r="U47" s="236"/>
      <c r="V47" s="236">
        <v>0</v>
      </c>
      <c r="W47" s="236"/>
      <c r="X47" s="236"/>
      <c r="Y47" s="236"/>
      <c r="Z47" s="236"/>
      <c r="AA47" s="236"/>
      <c r="AB47" s="236"/>
      <c r="AC47" s="236"/>
      <c r="AD47" s="201">
        <v>900</v>
      </c>
      <c r="AE47" s="426">
        <v>25</v>
      </c>
      <c r="AF47" s="402"/>
      <c r="AG47" s="378"/>
    </row>
    <row r="48" spans="2:53" x14ac:dyDescent="0.5">
      <c r="B48" s="400">
        <f t="shared" si="5"/>
        <v>1993</v>
      </c>
      <c r="C48" s="403">
        <v>0</v>
      </c>
      <c r="D48" s="403">
        <v>0</v>
      </c>
      <c r="E48" s="403"/>
      <c r="F48" s="403">
        <v>55</v>
      </c>
      <c r="G48" s="403"/>
      <c r="H48" s="403">
        <v>9</v>
      </c>
      <c r="I48" s="403">
        <v>0</v>
      </c>
      <c r="J48" s="403">
        <f t="shared" si="6"/>
        <v>64</v>
      </c>
      <c r="K48" s="403"/>
      <c r="L48" s="403"/>
      <c r="M48" s="403">
        <v>0</v>
      </c>
      <c r="N48" s="403">
        <v>0</v>
      </c>
      <c r="O48" s="403">
        <v>261</v>
      </c>
      <c r="P48" s="403">
        <v>4752</v>
      </c>
      <c r="Q48" s="403">
        <v>7</v>
      </c>
      <c r="R48" s="201">
        <f t="shared" si="4"/>
        <v>5020</v>
      </c>
      <c r="S48" s="236"/>
      <c r="T48" s="236"/>
      <c r="U48" s="236"/>
      <c r="V48" s="236">
        <v>0</v>
      </c>
      <c r="W48" s="236"/>
      <c r="X48" s="236"/>
      <c r="Y48" s="236"/>
      <c r="Z48" s="236"/>
      <c r="AA48" s="236"/>
      <c r="AB48" s="236"/>
      <c r="AC48" s="236"/>
      <c r="AD48" s="236">
        <v>0</v>
      </c>
      <c r="AE48" s="426">
        <v>20</v>
      </c>
      <c r="AF48" s="402"/>
      <c r="AG48" s="378"/>
    </row>
    <row r="49" spans="2:47" x14ac:dyDescent="0.5">
      <c r="B49" s="400">
        <f t="shared" si="5"/>
        <v>1994</v>
      </c>
      <c r="C49" s="403">
        <v>0</v>
      </c>
      <c r="D49" s="403">
        <v>0</v>
      </c>
      <c r="E49" s="403"/>
      <c r="F49" s="403">
        <v>0</v>
      </c>
      <c r="G49" s="403"/>
      <c r="H49" s="403">
        <v>1</v>
      </c>
      <c r="I49" s="403">
        <v>0</v>
      </c>
      <c r="J49" s="403">
        <f t="shared" si="6"/>
        <v>1</v>
      </c>
      <c r="K49" s="403"/>
      <c r="L49" s="403"/>
      <c r="M49" s="403">
        <v>0</v>
      </c>
      <c r="N49" s="403">
        <v>0</v>
      </c>
      <c r="O49" s="403">
        <v>0</v>
      </c>
      <c r="P49" s="403">
        <v>472</v>
      </c>
      <c r="Q49" s="403">
        <v>0</v>
      </c>
      <c r="R49" s="201">
        <f t="shared" si="4"/>
        <v>472</v>
      </c>
      <c r="S49" s="236"/>
      <c r="T49" s="236"/>
      <c r="U49" s="236"/>
      <c r="V49" s="236">
        <v>0</v>
      </c>
      <c r="W49" s="236"/>
      <c r="X49" s="236"/>
      <c r="Y49" s="236"/>
      <c r="Z49" s="236"/>
      <c r="AA49" s="236"/>
      <c r="AB49" s="236"/>
      <c r="AC49" s="236"/>
      <c r="AD49" s="236">
        <v>0</v>
      </c>
      <c r="AE49" s="426">
        <v>137</v>
      </c>
      <c r="AF49" s="402"/>
      <c r="AG49" s="378"/>
    </row>
    <row r="50" spans="2:47" x14ac:dyDescent="0.5">
      <c r="B50" s="400">
        <v>1995</v>
      </c>
      <c r="C50" s="403">
        <v>0</v>
      </c>
      <c r="D50" s="403">
        <v>0</v>
      </c>
      <c r="E50" s="403"/>
      <c r="F50" s="403">
        <v>0</v>
      </c>
      <c r="G50" s="403"/>
      <c r="H50" s="403">
        <v>1</v>
      </c>
      <c r="I50" s="403">
        <v>0</v>
      </c>
      <c r="J50" s="403">
        <f t="shared" si="6"/>
        <v>1</v>
      </c>
      <c r="K50" s="403"/>
      <c r="L50" s="403"/>
      <c r="M50" s="403">
        <v>0</v>
      </c>
      <c r="N50" s="403">
        <v>0</v>
      </c>
      <c r="O50" s="403">
        <v>0</v>
      </c>
      <c r="P50" s="403">
        <v>445</v>
      </c>
      <c r="Q50" s="403">
        <v>0</v>
      </c>
      <c r="R50" s="201">
        <f t="shared" si="4"/>
        <v>445</v>
      </c>
      <c r="S50" s="236"/>
      <c r="T50" s="236"/>
      <c r="U50" s="236"/>
      <c r="V50" s="236">
        <v>0</v>
      </c>
      <c r="W50" s="236"/>
      <c r="X50" s="236"/>
      <c r="Y50" s="236"/>
      <c r="Z50" s="236"/>
      <c r="AA50" s="236"/>
      <c r="AB50" s="236"/>
      <c r="AC50" s="236"/>
      <c r="AD50" s="503">
        <v>0</v>
      </c>
      <c r="AE50" s="426">
        <v>66</v>
      </c>
      <c r="AF50" s="402"/>
      <c r="AG50" s="378"/>
    </row>
    <row r="51" spans="2:47" x14ac:dyDescent="0.5">
      <c r="B51" s="400">
        <v>1996</v>
      </c>
      <c r="C51" s="403">
        <v>0</v>
      </c>
      <c r="D51" s="403">
        <v>0</v>
      </c>
      <c r="E51" s="403"/>
      <c r="F51" s="403">
        <f>15+4</f>
        <v>19</v>
      </c>
      <c r="G51" s="403"/>
      <c r="H51" s="403">
        <v>6</v>
      </c>
      <c r="I51" s="403">
        <v>0</v>
      </c>
      <c r="J51" s="403">
        <f t="shared" si="6"/>
        <v>25</v>
      </c>
      <c r="K51" s="403"/>
      <c r="L51" s="403"/>
      <c r="M51" s="403">
        <v>0</v>
      </c>
      <c r="N51" s="403">
        <v>0</v>
      </c>
      <c r="O51" s="403">
        <v>0</v>
      </c>
      <c r="P51" s="403">
        <v>1414</v>
      </c>
      <c r="Q51" s="403">
        <v>0</v>
      </c>
      <c r="R51" s="201">
        <f t="shared" si="4"/>
        <v>1414</v>
      </c>
      <c r="S51" s="236"/>
      <c r="T51" s="236"/>
      <c r="U51" s="236"/>
      <c r="V51" s="236">
        <v>0</v>
      </c>
      <c r="W51" s="236"/>
      <c r="X51" s="236"/>
      <c r="Y51" s="236"/>
      <c r="Z51" s="236"/>
      <c r="AA51" s="236"/>
      <c r="AB51" s="236"/>
      <c r="AC51" s="236"/>
      <c r="AD51" s="503">
        <v>0</v>
      </c>
      <c r="AE51" s="426">
        <v>60</v>
      </c>
      <c r="AF51" s="402"/>
      <c r="AG51" s="378"/>
    </row>
    <row r="52" spans="2:47" x14ac:dyDescent="0.5">
      <c r="B52" s="400">
        <v>1997</v>
      </c>
      <c r="C52" s="403">
        <v>0</v>
      </c>
      <c r="D52" s="403">
        <v>0</v>
      </c>
      <c r="E52" s="403"/>
      <c r="F52" s="403">
        <v>9.6999999999999993</v>
      </c>
      <c r="G52" s="403"/>
      <c r="H52" s="403">
        <v>2</v>
      </c>
      <c r="I52" s="403">
        <v>0</v>
      </c>
      <c r="J52" s="403">
        <f t="shared" si="6"/>
        <v>11.7</v>
      </c>
      <c r="K52" s="403"/>
      <c r="L52" s="403"/>
      <c r="M52" s="403">
        <v>0</v>
      </c>
      <c r="N52" s="403">
        <v>0</v>
      </c>
      <c r="O52" s="403">
        <v>0</v>
      </c>
      <c r="P52" s="403">
        <v>2046</v>
      </c>
      <c r="Q52" s="403">
        <v>0</v>
      </c>
      <c r="R52" s="201">
        <f t="shared" si="4"/>
        <v>2046</v>
      </c>
      <c r="S52" s="236"/>
      <c r="T52" s="236"/>
      <c r="U52" s="236"/>
      <c r="V52" s="236">
        <v>0</v>
      </c>
      <c r="W52" s="236"/>
      <c r="X52" s="236"/>
      <c r="Y52" s="236"/>
      <c r="Z52" s="236"/>
      <c r="AA52" s="236"/>
      <c r="AB52" s="236"/>
      <c r="AC52" s="236"/>
      <c r="AD52" s="503">
        <v>0</v>
      </c>
      <c r="AE52" s="426">
        <v>21</v>
      </c>
      <c r="AF52" s="402"/>
      <c r="AG52" s="378"/>
    </row>
    <row r="53" spans="2:47" x14ac:dyDescent="0.5">
      <c r="B53" s="400">
        <v>1998</v>
      </c>
      <c r="C53" s="403">
        <v>0</v>
      </c>
      <c r="D53" s="403">
        <v>0</v>
      </c>
      <c r="E53" s="403"/>
      <c r="F53" s="403">
        <v>0</v>
      </c>
      <c r="G53" s="403"/>
      <c r="H53" s="403">
        <f>22*0.1</f>
        <v>2.2000000000000002</v>
      </c>
      <c r="I53" s="403">
        <v>0</v>
      </c>
      <c r="J53" s="403">
        <f t="shared" si="6"/>
        <v>2.2000000000000002</v>
      </c>
      <c r="K53" s="403"/>
      <c r="L53" s="403"/>
      <c r="M53" s="403">
        <v>0</v>
      </c>
      <c r="N53" s="403">
        <v>0</v>
      </c>
      <c r="O53" s="403">
        <v>0</v>
      </c>
      <c r="P53" s="403">
        <v>425</v>
      </c>
      <c r="Q53" s="403">
        <v>0</v>
      </c>
      <c r="R53" s="201">
        <f t="shared" si="4"/>
        <v>425</v>
      </c>
      <c r="S53" s="236"/>
      <c r="T53" s="236"/>
      <c r="U53" s="236"/>
      <c r="V53" s="236">
        <v>0</v>
      </c>
      <c r="W53" s="236"/>
      <c r="X53" s="236"/>
      <c r="Y53" s="236"/>
      <c r="Z53" s="236"/>
      <c r="AA53" s="236"/>
      <c r="AB53" s="236"/>
      <c r="AC53" s="236"/>
      <c r="AD53" s="503">
        <v>0</v>
      </c>
      <c r="AE53" s="426">
        <v>20</v>
      </c>
      <c r="AF53" s="402"/>
      <c r="AG53" s="378"/>
    </row>
    <row r="54" spans="2:47" x14ac:dyDescent="0.5">
      <c r="B54" s="400">
        <v>1999</v>
      </c>
      <c r="C54" s="403">
        <v>0</v>
      </c>
      <c r="D54" s="403">
        <v>0</v>
      </c>
      <c r="E54" s="403"/>
      <c r="F54" s="403">
        <v>0</v>
      </c>
      <c r="G54" s="403"/>
      <c r="H54" s="403">
        <f>9*0.1</f>
        <v>0.9</v>
      </c>
      <c r="I54" s="403">
        <v>0</v>
      </c>
      <c r="J54" s="403">
        <f t="shared" si="6"/>
        <v>0.9</v>
      </c>
      <c r="K54" s="403"/>
      <c r="L54" s="403"/>
      <c r="M54" s="403">
        <v>0</v>
      </c>
      <c r="N54" s="403">
        <v>0</v>
      </c>
      <c r="O54" s="403">
        <v>2</v>
      </c>
      <c r="P54" s="403">
        <v>702</v>
      </c>
      <c r="Q54" s="403">
        <v>0</v>
      </c>
      <c r="R54" s="201">
        <f t="shared" si="4"/>
        <v>704</v>
      </c>
      <c r="S54" s="236"/>
      <c r="T54" s="236"/>
      <c r="U54" s="236"/>
      <c r="V54" s="236">
        <v>0</v>
      </c>
      <c r="W54" s="236"/>
      <c r="X54" s="236"/>
      <c r="Y54" s="236"/>
      <c r="Z54" s="236"/>
      <c r="AA54" s="236"/>
      <c r="AB54" s="236"/>
      <c r="AC54" s="236"/>
      <c r="AD54" s="503">
        <v>0</v>
      </c>
      <c r="AE54" s="426">
        <v>0</v>
      </c>
      <c r="AF54" s="402"/>
      <c r="AG54" s="378"/>
      <c r="AH54" s="236"/>
      <c r="AI54" s="236"/>
      <c r="AJ54" s="236"/>
      <c r="AK54" s="236"/>
      <c r="AL54" s="236"/>
      <c r="AM54" s="236"/>
      <c r="AN54" s="236"/>
      <c r="AO54" s="236"/>
      <c r="AP54" s="236"/>
      <c r="AQ54" s="236"/>
      <c r="AR54" s="236"/>
      <c r="AS54" s="236"/>
      <c r="AT54" s="236"/>
      <c r="AU54" s="236"/>
    </row>
    <row r="55" spans="2:47" x14ac:dyDescent="0.5">
      <c r="B55" s="400">
        <v>2000</v>
      </c>
      <c r="C55" s="403">
        <v>342</v>
      </c>
      <c r="D55" s="403">
        <v>0</v>
      </c>
      <c r="E55" s="403"/>
      <c r="F55" s="403">
        <v>0</v>
      </c>
      <c r="G55" s="403"/>
      <c r="H55" s="403">
        <v>22</v>
      </c>
      <c r="I55" s="403">
        <f>18*0.1</f>
        <v>1.8</v>
      </c>
      <c r="J55" s="403">
        <f t="shared" si="6"/>
        <v>365.8</v>
      </c>
      <c r="K55" s="403"/>
      <c r="L55" s="403"/>
      <c r="M55" s="403">
        <v>0</v>
      </c>
      <c r="N55" s="403">
        <v>360</v>
      </c>
      <c r="O55" s="403">
        <v>0</v>
      </c>
      <c r="P55" s="403">
        <v>2550</v>
      </c>
      <c r="Q55" s="403">
        <v>0</v>
      </c>
      <c r="R55" s="201">
        <f t="shared" si="4"/>
        <v>2910</v>
      </c>
      <c r="S55" s="236"/>
      <c r="T55" s="236"/>
      <c r="U55" s="236"/>
      <c r="V55" s="236">
        <v>14</v>
      </c>
      <c r="W55" s="236"/>
      <c r="X55" s="236"/>
      <c r="Y55" s="236"/>
      <c r="Z55" s="236"/>
      <c r="AA55" s="236"/>
      <c r="AB55" s="236"/>
      <c r="AC55" s="236"/>
      <c r="AD55" s="201">
        <v>1650</v>
      </c>
      <c r="AE55" s="426">
        <v>12</v>
      </c>
      <c r="AF55" s="402"/>
      <c r="AG55" s="378"/>
      <c r="AH55" s="236"/>
      <c r="AI55" s="236"/>
      <c r="AJ55" s="236"/>
      <c r="AK55" s="236"/>
      <c r="AL55" s="236"/>
      <c r="AM55" s="236"/>
      <c r="AN55" s="236"/>
      <c r="AO55" s="236"/>
      <c r="AP55" s="236"/>
      <c r="AQ55" s="236"/>
      <c r="AR55" s="236"/>
      <c r="AS55" s="236"/>
      <c r="AT55" s="236"/>
      <c r="AU55" s="236"/>
    </row>
    <row r="56" spans="2:47" x14ac:dyDescent="0.5">
      <c r="B56" s="400">
        <v>2001</v>
      </c>
      <c r="C56" s="402">
        <f>(1558)+(0.68*0.6)</f>
        <v>1558.4079999999999</v>
      </c>
      <c r="D56" s="402">
        <v>0.68</v>
      </c>
      <c r="E56" s="402">
        <v>1</v>
      </c>
      <c r="F56" s="402">
        <v>14.89</v>
      </c>
      <c r="G56" s="402"/>
      <c r="H56" s="402">
        <v>114</v>
      </c>
      <c r="I56" s="402">
        <f>19*0.1</f>
        <v>1.9000000000000001</v>
      </c>
      <c r="J56" s="403">
        <f>SUM(C56:I56)</f>
        <v>1690.8780000000002</v>
      </c>
      <c r="K56" s="403"/>
      <c r="L56" s="403"/>
      <c r="M56" s="382">
        <v>0</v>
      </c>
      <c r="N56" s="403">
        <v>5580</v>
      </c>
      <c r="O56" s="403">
        <v>0</v>
      </c>
      <c r="P56" s="403">
        <v>1720</v>
      </c>
      <c r="Q56" s="403">
        <v>0</v>
      </c>
      <c r="R56" s="201">
        <f t="shared" si="4"/>
        <v>7300</v>
      </c>
      <c r="S56" s="236"/>
      <c r="T56" s="236"/>
      <c r="U56" s="236"/>
      <c r="V56" s="236">
        <v>0</v>
      </c>
      <c r="W56" s="236"/>
      <c r="X56" s="236"/>
      <c r="Y56" s="236"/>
      <c r="Z56" s="236"/>
      <c r="AA56" s="236"/>
      <c r="AB56" s="236"/>
      <c r="AC56" s="236">
        <v>3265</v>
      </c>
      <c r="AD56" s="201">
        <v>1850</v>
      </c>
      <c r="AE56" s="426">
        <v>0</v>
      </c>
      <c r="AF56" s="402">
        <v>187</v>
      </c>
      <c r="AG56" s="378"/>
      <c r="AH56" s="236"/>
      <c r="AI56" s="236"/>
      <c r="AJ56" s="236"/>
      <c r="AK56" s="236"/>
      <c r="AL56" s="236"/>
      <c r="AM56" s="236"/>
      <c r="AN56" s="236"/>
      <c r="AO56" s="236"/>
      <c r="AP56" s="236"/>
      <c r="AQ56" s="433"/>
      <c r="AR56" s="236"/>
      <c r="AS56" s="236"/>
      <c r="AT56" s="236"/>
      <c r="AU56" s="236"/>
    </row>
    <row r="57" spans="2:47" x14ac:dyDescent="0.5">
      <c r="B57" s="400">
        <v>2002</v>
      </c>
      <c r="C57" s="402">
        <v>0</v>
      </c>
      <c r="D57" s="402">
        <v>0</v>
      </c>
      <c r="E57" s="402"/>
      <c r="F57" s="402">
        <v>1</v>
      </c>
      <c r="G57" s="402"/>
      <c r="H57" s="402">
        <f>13</f>
        <v>13</v>
      </c>
      <c r="I57" s="402">
        <f>47*0.1</f>
        <v>4.7</v>
      </c>
      <c r="J57" s="403">
        <f t="shared" si="6"/>
        <v>18.7</v>
      </c>
      <c r="K57" s="403"/>
      <c r="L57" s="403"/>
      <c r="M57" s="403">
        <v>0</v>
      </c>
      <c r="N57" s="403">
        <v>0</v>
      </c>
      <c r="O57" s="403">
        <v>64</v>
      </c>
      <c r="P57" s="403">
        <v>2500</v>
      </c>
      <c r="Q57" s="403">
        <v>0</v>
      </c>
      <c r="R57" s="201">
        <f t="shared" si="4"/>
        <v>2564</v>
      </c>
      <c r="S57" s="236"/>
      <c r="T57" s="201">
        <v>5</v>
      </c>
      <c r="U57" s="201">
        <v>0</v>
      </c>
      <c r="V57" s="236">
        <v>0</v>
      </c>
      <c r="W57" s="236"/>
      <c r="X57" s="236"/>
      <c r="Y57" s="236"/>
      <c r="Z57" s="236"/>
      <c r="AA57" s="236"/>
      <c r="AB57" s="236"/>
      <c r="AC57" s="236">
        <v>63</v>
      </c>
      <c r="AD57" s="236">
        <v>0</v>
      </c>
      <c r="AE57" s="427">
        <v>0</v>
      </c>
      <c r="AF57" s="402">
        <v>18</v>
      </c>
      <c r="AG57" s="378"/>
      <c r="AH57" s="236"/>
      <c r="AI57" s="236"/>
      <c r="AJ57" s="236"/>
      <c r="AK57" s="236"/>
      <c r="AL57" s="236"/>
      <c r="AM57" s="236"/>
      <c r="AN57" s="236"/>
      <c r="AO57" s="236"/>
      <c r="AP57" s="236"/>
      <c r="AQ57" s="433"/>
      <c r="AR57" s="236"/>
      <c r="AS57" s="236"/>
      <c r="AT57" s="236"/>
      <c r="AU57" s="236"/>
    </row>
    <row r="58" spans="2:47" x14ac:dyDescent="0.5">
      <c r="B58" s="400">
        <v>2003</v>
      </c>
      <c r="C58" s="402">
        <v>0</v>
      </c>
      <c r="D58" s="402">
        <v>0</v>
      </c>
      <c r="E58" s="402"/>
      <c r="F58" s="402">
        <v>0</v>
      </c>
      <c r="G58" s="402"/>
      <c r="H58" s="402">
        <v>0</v>
      </c>
      <c r="I58" s="402">
        <v>0</v>
      </c>
      <c r="J58" s="403">
        <f t="shared" si="6"/>
        <v>0</v>
      </c>
      <c r="K58" s="403"/>
      <c r="L58" s="403"/>
      <c r="M58" s="403">
        <v>0</v>
      </c>
      <c r="N58" s="403">
        <v>10</v>
      </c>
      <c r="O58" s="403">
        <v>0</v>
      </c>
      <c r="P58" s="403">
        <v>1080</v>
      </c>
      <c r="Q58" s="403">
        <v>0</v>
      </c>
      <c r="R58" s="201">
        <f t="shared" si="4"/>
        <v>1090</v>
      </c>
      <c r="S58" s="236"/>
      <c r="T58" s="201">
        <v>0</v>
      </c>
      <c r="U58" s="201">
        <v>0</v>
      </c>
      <c r="V58" s="236">
        <v>0</v>
      </c>
      <c r="W58" s="236"/>
      <c r="X58" s="236"/>
      <c r="Y58" s="236"/>
      <c r="Z58" s="236"/>
      <c r="AA58" s="236"/>
      <c r="AB58" s="236"/>
      <c r="AC58" s="236">
        <v>0</v>
      </c>
      <c r="AD58" s="503">
        <v>0</v>
      </c>
      <c r="AE58" s="426">
        <v>46</v>
      </c>
      <c r="AF58" s="402">
        <v>6</v>
      </c>
      <c r="AG58" s="378"/>
      <c r="AH58" s="236"/>
      <c r="AI58" s="236"/>
      <c r="AJ58" s="236"/>
      <c r="AK58" s="236"/>
      <c r="AL58" s="236"/>
      <c r="AM58" s="236"/>
      <c r="AN58" s="236"/>
      <c r="AO58" s="236"/>
      <c r="AP58" s="236"/>
      <c r="AQ58" s="433"/>
      <c r="AR58" s="236"/>
      <c r="AS58" s="236"/>
      <c r="AT58" s="236"/>
      <c r="AU58" s="236"/>
    </row>
    <row r="59" spans="2:47" x14ac:dyDescent="0.5">
      <c r="B59" s="400">
        <v>2004</v>
      </c>
      <c r="C59" s="402">
        <v>666</v>
      </c>
      <c r="D59" s="402">
        <v>0</v>
      </c>
      <c r="E59" s="402"/>
      <c r="F59" s="402">
        <v>0</v>
      </c>
      <c r="G59" s="402"/>
      <c r="H59" s="402">
        <v>6</v>
      </c>
      <c r="I59" s="402">
        <v>0</v>
      </c>
      <c r="J59" s="403">
        <f t="shared" si="6"/>
        <v>672</v>
      </c>
      <c r="K59" s="403"/>
      <c r="L59" s="403"/>
      <c r="M59" s="403">
        <v>0</v>
      </c>
      <c r="N59" s="403">
        <v>1727</v>
      </c>
      <c r="O59" s="403">
        <v>0</v>
      </c>
      <c r="P59" s="403">
        <v>2590</v>
      </c>
      <c r="Q59" s="403">
        <v>0</v>
      </c>
      <c r="R59" s="201">
        <f t="shared" si="4"/>
        <v>4317</v>
      </c>
      <c r="S59" s="236"/>
      <c r="T59" s="191">
        <v>10</v>
      </c>
      <c r="U59" s="201">
        <v>0</v>
      </c>
      <c r="V59" s="236">
        <v>15</v>
      </c>
      <c r="W59" s="236"/>
      <c r="X59" s="236"/>
      <c r="Y59" s="236"/>
      <c r="Z59" s="236"/>
      <c r="AA59" s="236"/>
      <c r="AB59" s="236"/>
      <c r="AC59" s="236">
        <v>6504</v>
      </c>
      <c r="AD59" s="503">
        <v>0</v>
      </c>
      <c r="AE59" s="426">
        <v>24</v>
      </c>
      <c r="AF59" s="402">
        <v>186</v>
      </c>
      <c r="AG59" s="378"/>
      <c r="AH59" s="236"/>
      <c r="AI59" s="236"/>
      <c r="AJ59" s="236">
        <v>2609</v>
      </c>
      <c r="AK59" s="236"/>
      <c r="AL59" s="236"/>
      <c r="AM59" s="236"/>
      <c r="AN59" s="236"/>
      <c r="AO59" s="236"/>
      <c r="AP59" s="236"/>
      <c r="AQ59" s="236"/>
      <c r="AR59" s="236"/>
      <c r="AS59" s="236"/>
      <c r="AT59" s="236"/>
      <c r="AU59" s="236"/>
    </row>
    <row r="60" spans="2:47" x14ac:dyDescent="0.5">
      <c r="B60" s="400">
        <v>2005</v>
      </c>
      <c r="C60" s="428">
        <v>0</v>
      </c>
      <c r="D60" s="428">
        <v>0</v>
      </c>
      <c r="E60" s="428"/>
      <c r="F60" s="428">
        <v>0</v>
      </c>
      <c r="G60" s="428"/>
      <c r="H60" s="428"/>
      <c r="I60" s="428">
        <f>44*0.1</f>
        <v>4.4000000000000004</v>
      </c>
      <c r="J60" s="428">
        <f t="shared" si="6"/>
        <v>4.4000000000000004</v>
      </c>
      <c r="K60" s="428"/>
      <c r="L60" s="403"/>
      <c r="M60" s="403">
        <v>0</v>
      </c>
      <c r="N60" s="403">
        <v>1085</v>
      </c>
      <c r="O60" s="403">
        <v>1</v>
      </c>
      <c r="P60" s="403">
        <v>1680</v>
      </c>
      <c r="Q60" s="403">
        <v>0</v>
      </c>
      <c r="R60" s="201">
        <f t="shared" si="4"/>
        <v>2766</v>
      </c>
      <c r="S60" s="236"/>
      <c r="T60" s="201">
        <v>0</v>
      </c>
      <c r="U60" s="201">
        <v>0</v>
      </c>
      <c r="V60" s="10">
        <v>0</v>
      </c>
      <c r="W60" s="10"/>
      <c r="X60" s="10"/>
      <c r="Y60" s="10"/>
      <c r="Z60" s="10"/>
      <c r="AA60" s="10"/>
      <c r="AB60" s="10"/>
      <c r="AC60" s="10">
        <v>10</v>
      </c>
      <c r="AD60" s="10">
        <v>0</v>
      </c>
      <c r="AE60" s="402">
        <v>207</v>
      </c>
      <c r="AF60" s="402">
        <v>48</v>
      </c>
      <c r="AG60" s="378"/>
    </row>
    <row r="61" spans="2:47" x14ac:dyDescent="0.5">
      <c r="B61" s="400">
        <v>2006</v>
      </c>
      <c r="C61" s="428">
        <v>0</v>
      </c>
      <c r="D61" s="428">
        <v>0</v>
      </c>
      <c r="E61" s="428">
        <v>0</v>
      </c>
      <c r="F61" s="428">
        <f>2*0.16</f>
        <v>0.32</v>
      </c>
      <c r="G61" s="428"/>
      <c r="H61" s="428">
        <v>1</v>
      </c>
      <c r="I61" s="428">
        <v>0</v>
      </c>
      <c r="J61" s="428">
        <f t="shared" si="6"/>
        <v>1.32</v>
      </c>
      <c r="K61" s="429"/>
      <c r="L61" s="403"/>
      <c r="M61" s="403">
        <v>0</v>
      </c>
      <c r="N61" s="403">
        <v>661</v>
      </c>
      <c r="O61" s="403">
        <v>0</v>
      </c>
      <c r="P61" s="403">
        <v>935</v>
      </c>
      <c r="Q61" s="403">
        <v>0</v>
      </c>
      <c r="R61" s="201">
        <f t="shared" si="4"/>
        <v>1596</v>
      </c>
      <c r="S61" s="236"/>
      <c r="T61" s="201">
        <v>0</v>
      </c>
      <c r="U61" s="201">
        <v>0</v>
      </c>
      <c r="V61" s="10">
        <v>0</v>
      </c>
      <c r="W61" s="10"/>
      <c r="X61" s="10"/>
      <c r="Y61" s="10"/>
      <c r="Z61" s="10"/>
      <c r="AA61" s="10"/>
      <c r="AB61" s="10"/>
      <c r="AC61" s="10">
        <v>0</v>
      </c>
      <c r="AD61" s="10">
        <v>0</v>
      </c>
      <c r="AE61" s="428">
        <v>12</v>
      </c>
      <c r="AF61" s="402">
        <v>6</v>
      </c>
      <c r="AG61" s="378"/>
    </row>
    <row r="62" spans="2:47" x14ac:dyDescent="0.5">
      <c r="B62" s="400">
        <v>2007</v>
      </c>
      <c r="C62" s="428">
        <v>0</v>
      </c>
      <c r="D62" s="428">
        <v>0</v>
      </c>
      <c r="E62" s="428">
        <v>0</v>
      </c>
      <c r="F62" s="428">
        <v>0</v>
      </c>
      <c r="G62" s="428"/>
      <c r="H62" s="428">
        <v>0</v>
      </c>
      <c r="I62" s="428">
        <v>0</v>
      </c>
      <c r="J62" s="428">
        <f t="shared" si="6"/>
        <v>0</v>
      </c>
      <c r="K62" s="403">
        <v>0</v>
      </c>
      <c r="L62" s="403"/>
      <c r="M62" s="403">
        <v>0</v>
      </c>
      <c r="N62" s="403">
        <v>244</v>
      </c>
      <c r="O62" s="403">
        <v>0</v>
      </c>
      <c r="P62" s="403">
        <v>1170</v>
      </c>
      <c r="Q62" s="403">
        <v>0</v>
      </c>
      <c r="R62" s="201">
        <f t="shared" si="4"/>
        <v>1414</v>
      </c>
      <c r="S62" s="236"/>
      <c r="T62" s="201">
        <v>0</v>
      </c>
      <c r="U62" s="201">
        <v>0</v>
      </c>
      <c r="V62" s="10">
        <v>37</v>
      </c>
      <c r="W62" s="10"/>
      <c r="X62" s="10"/>
      <c r="Y62" s="10"/>
      <c r="Z62" s="10"/>
      <c r="AA62" s="10"/>
      <c r="AB62" s="10"/>
      <c r="AC62" s="10">
        <v>0</v>
      </c>
      <c r="AD62" s="10">
        <v>0</v>
      </c>
      <c r="AE62" s="428">
        <v>43</v>
      </c>
      <c r="AF62" s="402">
        <v>13</v>
      </c>
      <c r="AG62" s="378"/>
    </row>
    <row r="63" spans="2:47" x14ac:dyDescent="0.5">
      <c r="B63" s="400">
        <v>2008</v>
      </c>
      <c r="C63" s="402">
        <v>296</v>
      </c>
      <c r="D63" s="402">
        <v>0</v>
      </c>
      <c r="E63" s="402">
        <v>0</v>
      </c>
      <c r="F63" s="402">
        <v>5</v>
      </c>
      <c r="G63" s="402"/>
      <c r="H63" s="402">
        <v>494</v>
      </c>
      <c r="I63" s="402">
        <f>630*0.1</f>
        <v>63</v>
      </c>
      <c r="J63" s="403">
        <f>SUM(C63:I63)</f>
        <v>858</v>
      </c>
      <c r="K63" s="403">
        <v>0</v>
      </c>
      <c r="L63" s="403"/>
      <c r="M63" s="402">
        <f>0+120</f>
        <v>120</v>
      </c>
      <c r="N63" s="402">
        <v>3517</v>
      </c>
      <c r="O63" s="402">
        <v>0</v>
      </c>
      <c r="P63" s="402">
        <v>5500</v>
      </c>
      <c r="Q63" s="403">
        <v>0</v>
      </c>
      <c r="R63" s="201">
        <f t="shared" si="4"/>
        <v>9017</v>
      </c>
      <c r="S63" s="236"/>
      <c r="T63" s="201">
        <f>0+0</f>
        <v>0</v>
      </c>
      <c r="U63" s="201">
        <v>26</v>
      </c>
      <c r="V63" s="201">
        <v>346</v>
      </c>
      <c r="W63" s="201">
        <f>15+8</f>
        <v>23</v>
      </c>
      <c r="X63" s="201"/>
      <c r="Y63" s="201"/>
      <c r="Z63" s="430">
        <v>15</v>
      </c>
      <c r="AA63" s="430">
        <v>8</v>
      </c>
      <c r="AB63" s="201"/>
      <c r="AC63" s="201">
        <v>4521</v>
      </c>
      <c r="AD63" s="201">
        <v>0</v>
      </c>
      <c r="AE63" s="402">
        <v>1024</v>
      </c>
      <c r="AF63" s="402">
        <v>199</v>
      </c>
      <c r="AG63" s="378"/>
    </row>
    <row r="64" spans="2:47" x14ac:dyDescent="0.5">
      <c r="B64" s="400">
        <v>2009</v>
      </c>
      <c r="C64" s="402">
        <v>219</v>
      </c>
      <c r="D64" s="402">
        <v>0</v>
      </c>
      <c r="E64" s="402">
        <v>1</v>
      </c>
      <c r="F64" s="402">
        <v>0</v>
      </c>
      <c r="G64" s="402"/>
      <c r="H64" s="402">
        <v>900</v>
      </c>
      <c r="I64" s="402">
        <f>85*0.1</f>
        <v>8.5</v>
      </c>
      <c r="J64" s="403">
        <f>SUM(C64:I64)</f>
        <v>1128.5</v>
      </c>
      <c r="K64" s="402">
        <v>0</v>
      </c>
      <c r="L64" s="403"/>
      <c r="M64" s="402">
        <f>1+65</f>
        <v>66</v>
      </c>
      <c r="N64" s="402">
        <v>9731</v>
      </c>
      <c r="O64" s="402">
        <v>0</v>
      </c>
      <c r="P64" s="402">
        <v>0</v>
      </c>
      <c r="Q64" s="403">
        <v>0</v>
      </c>
      <c r="R64" s="201">
        <f t="shared" si="4"/>
        <v>9731</v>
      </c>
      <c r="S64" s="236"/>
      <c r="T64" s="201">
        <f>6+0</f>
        <v>6</v>
      </c>
      <c r="U64" s="201">
        <v>18</v>
      </c>
      <c r="V64" s="201">
        <v>3681</v>
      </c>
      <c r="W64" s="201">
        <f>36+6</f>
        <v>42</v>
      </c>
      <c r="X64" s="201"/>
      <c r="Y64" s="201"/>
      <c r="Z64" s="430">
        <v>36</v>
      </c>
      <c r="AA64" s="430">
        <v>6</v>
      </c>
      <c r="AB64" s="201"/>
      <c r="AC64" s="201">
        <f>2229 + (56*0.1)</f>
        <v>2234.6</v>
      </c>
      <c r="AD64" s="201">
        <v>0</v>
      </c>
      <c r="AE64" s="402">
        <v>14422</v>
      </c>
      <c r="AF64" s="402">
        <v>188</v>
      </c>
      <c r="AG64" s="378"/>
    </row>
    <row r="65" spans="2:33" x14ac:dyDescent="0.5">
      <c r="B65" s="400">
        <v>2010</v>
      </c>
      <c r="C65" s="402">
        <v>0</v>
      </c>
      <c r="D65" s="402">
        <v>0</v>
      </c>
      <c r="E65" s="402">
        <v>0</v>
      </c>
      <c r="F65" s="402">
        <v>3</v>
      </c>
      <c r="G65" s="402"/>
      <c r="H65" s="402">
        <v>218</v>
      </c>
      <c r="I65" s="402">
        <f>1008*0.1</f>
        <v>100.80000000000001</v>
      </c>
      <c r="J65" s="403">
        <f t="shared" si="6"/>
        <v>321.8</v>
      </c>
      <c r="K65" s="402">
        <v>1282</v>
      </c>
      <c r="L65" s="403"/>
      <c r="M65" s="402">
        <f>12+145</f>
        <v>157</v>
      </c>
      <c r="N65" s="402">
        <v>24843</v>
      </c>
      <c r="O65" s="402">
        <v>0</v>
      </c>
      <c r="P65" s="402">
        <v>0</v>
      </c>
      <c r="Q65" s="402">
        <v>0</v>
      </c>
      <c r="R65" s="201">
        <f t="shared" ref="R65:R72" si="7">SUM(N65:Q65)+K65</f>
        <v>26125</v>
      </c>
      <c r="S65" s="236"/>
      <c r="T65" s="201">
        <f>0+4</f>
        <v>4</v>
      </c>
      <c r="U65" s="201">
        <v>30</v>
      </c>
      <c r="V65" s="201">
        <v>11029</v>
      </c>
      <c r="W65" s="201"/>
      <c r="X65" s="201"/>
      <c r="Y65" s="201"/>
      <c r="Z65" s="430">
        <v>156</v>
      </c>
      <c r="AA65" s="430">
        <v>104</v>
      </c>
      <c r="AB65" s="201"/>
      <c r="AC65" s="201">
        <v>4129</v>
      </c>
      <c r="AD65" s="201">
        <v>0</v>
      </c>
      <c r="AE65" s="428">
        <v>16530</v>
      </c>
      <c r="AF65" s="402">
        <v>469</v>
      </c>
      <c r="AG65" s="378"/>
    </row>
    <row r="66" spans="2:33" x14ac:dyDescent="0.5">
      <c r="B66" s="400">
        <v>2011</v>
      </c>
      <c r="C66" s="402">
        <v>82</v>
      </c>
      <c r="D66" s="402">
        <v>0</v>
      </c>
      <c r="E66" s="402">
        <v>0</v>
      </c>
      <c r="F66" s="402">
        <v>2</v>
      </c>
      <c r="G66" s="402"/>
      <c r="H66" s="402">
        <v>1427</v>
      </c>
      <c r="I66" s="402">
        <f>388*0.15</f>
        <v>58.199999999999996</v>
      </c>
      <c r="J66" s="403">
        <f>SUM(C66:I66)</f>
        <v>1569.2</v>
      </c>
      <c r="K66" s="402">
        <v>0</v>
      </c>
      <c r="L66" s="403"/>
      <c r="M66" s="402">
        <f>7+296</f>
        <v>303</v>
      </c>
      <c r="N66" s="402">
        <v>12849</v>
      </c>
      <c r="O66" s="402">
        <v>0</v>
      </c>
      <c r="P66" s="402">
        <v>0</v>
      </c>
      <c r="Q66" s="402">
        <v>4</v>
      </c>
      <c r="R66" s="201">
        <f t="shared" si="7"/>
        <v>12853</v>
      </c>
      <c r="S66" s="236"/>
      <c r="T66" s="201">
        <f>0+0</f>
        <v>0</v>
      </c>
      <c r="U66" s="201">
        <v>36</v>
      </c>
      <c r="V66" s="201">
        <v>1977</v>
      </c>
      <c r="W66" s="201"/>
      <c r="X66" s="201"/>
      <c r="Y66" s="201"/>
      <c r="Z66" s="430">
        <v>0</v>
      </c>
      <c r="AA66" s="430">
        <v>0</v>
      </c>
      <c r="AB66" s="201"/>
      <c r="AC66" s="201">
        <v>0</v>
      </c>
      <c r="AD66" s="201">
        <v>0</v>
      </c>
      <c r="AE66" s="402">
        <v>854</v>
      </c>
      <c r="AF66" s="402">
        <v>91</v>
      </c>
      <c r="AG66" s="378"/>
    </row>
    <row r="67" spans="2:33" x14ac:dyDescent="0.5">
      <c r="B67" s="400">
        <v>2012</v>
      </c>
      <c r="C67" s="401">
        <v>448</v>
      </c>
      <c r="D67" s="401">
        <v>0</v>
      </c>
      <c r="E67" s="401">
        <v>35</v>
      </c>
      <c r="F67" s="401">
        <v>0</v>
      </c>
      <c r="G67" s="401">
        <v>891</v>
      </c>
      <c r="H67" s="401">
        <v>3948</v>
      </c>
      <c r="I67" s="401">
        <f>1092*0.15</f>
        <v>163.79999999999998</v>
      </c>
      <c r="J67" s="402">
        <f t="shared" ref="J67:J72" si="8">SUM(C67:I67)</f>
        <v>5485.8</v>
      </c>
      <c r="K67" s="402">
        <v>0</v>
      </c>
      <c r="L67" s="403"/>
      <c r="M67" s="402">
        <f>14+895</f>
        <v>909</v>
      </c>
      <c r="N67" s="402">
        <v>45352</v>
      </c>
      <c r="O67" s="402">
        <v>0</v>
      </c>
      <c r="P67" s="402">
        <v>0</v>
      </c>
      <c r="Q67" s="402">
        <v>0</v>
      </c>
      <c r="R67" s="201">
        <f t="shared" si="7"/>
        <v>45352</v>
      </c>
      <c r="S67" s="236"/>
      <c r="T67" s="503">
        <f>0+0</f>
        <v>0</v>
      </c>
      <c r="U67" s="503">
        <v>301</v>
      </c>
      <c r="V67" s="201">
        <v>31627</v>
      </c>
      <c r="W67" s="201"/>
      <c r="X67" s="201"/>
      <c r="Y67" s="201"/>
      <c r="Z67" s="430">
        <v>84</v>
      </c>
      <c r="AA67" s="430">
        <v>296</v>
      </c>
      <c r="AB67" s="201"/>
      <c r="AC67" s="201">
        <f>12179 + (72*0.1)</f>
        <v>12186.2</v>
      </c>
      <c r="AD67" s="201">
        <v>0</v>
      </c>
      <c r="AE67" s="402">
        <v>15677</v>
      </c>
      <c r="AF67" s="402">
        <v>44</v>
      </c>
      <c r="AG67" s="378"/>
    </row>
    <row r="68" spans="2:33" x14ac:dyDescent="0.5">
      <c r="B68" s="400">
        <v>2013</v>
      </c>
      <c r="C68" s="401">
        <v>140</v>
      </c>
      <c r="D68" s="401">
        <v>0</v>
      </c>
      <c r="E68" s="401">
        <v>10</v>
      </c>
      <c r="F68" s="401">
        <v>0</v>
      </c>
      <c r="G68" s="401">
        <v>10</v>
      </c>
      <c r="H68" s="401">
        <v>502</v>
      </c>
      <c r="I68" s="401">
        <f>163*0.15</f>
        <v>24.45</v>
      </c>
      <c r="J68" s="402">
        <f t="shared" si="8"/>
        <v>686.45</v>
      </c>
      <c r="K68" s="402">
        <v>0</v>
      </c>
      <c r="L68" s="403"/>
      <c r="M68" s="402">
        <f>18+26</f>
        <v>44</v>
      </c>
      <c r="N68" s="402">
        <v>8033</v>
      </c>
      <c r="O68" s="402">
        <v>7</v>
      </c>
      <c r="P68" s="402">
        <v>0</v>
      </c>
      <c r="Q68" s="402">
        <v>6</v>
      </c>
      <c r="R68" s="201">
        <f t="shared" si="7"/>
        <v>8046</v>
      </c>
      <c r="S68" s="236"/>
      <c r="T68" s="503">
        <f>0+5</f>
        <v>5</v>
      </c>
      <c r="U68" s="503">
        <v>1080</v>
      </c>
      <c r="V68" s="201">
        <v>6321</v>
      </c>
      <c r="W68" s="201"/>
      <c r="X68" s="201">
        <v>9</v>
      </c>
      <c r="Y68" s="201">
        <v>27</v>
      </c>
      <c r="Z68" s="430">
        <v>37</v>
      </c>
      <c r="AA68" s="430">
        <v>0</v>
      </c>
      <c r="AB68" s="201"/>
      <c r="AC68" s="201">
        <f>6262 + (21*0.1)</f>
        <v>6264.1</v>
      </c>
      <c r="AD68" s="201">
        <v>0</v>
      </c>
      <c r="AE68" s="402">
        <v>4276</v>
      </c>
      <c r="AF68" s="402">
        <v>92</v>
      </c>
      <c r="AG68" s="378">
        <v>3</v>
      </c>
    </row>
    <row r="69" spans="2:33" x14ac:dyDescent="0.5">
      <c r="B69" s="400">
        <v>2014</v>
      </c>
      <c r="C69" s="401">
        <v>277</v>
      </c>
      <c r="D69" s="401">
        <v>0</v>
      </c>
      <c r="E69" s="401">
        <v>30</v>
      </c>
      <c r="F69" s="401">
        <v>3</v>
      </c>
      <c r="G69" s="401">
        <v>1166</v>
      </c>
      <c r="H69" s="401">
        <f>6+932</f>
        <v>938</v>
      </c>
      <c r="I69" s="401">
        <f>(171+226)*0.15</f>
        <v>59.55</v>
      </c>
      <c r="J69" s="402">
        <f t="shared" si="8"/>
        <v>2473.5500000000002</v>
      </c>
      <c r="K69" s="402">
        <v>40</v>
      </c>
      <c r="L69" s="403"/>
      <c r="M69" s="402">
        <v>107</v>
      </c>
      <c r="N69" s="402">
        <f>31052-M69-Q69</f>
        <v>30855</v>
      </c>
      <c r="O69" s="402">
        <v>0</v>
      </c>
      <c r="P69" s="402">
        <v>0</v>
      </c>
      <c r="Q69" s="402">
        <v>90</v>
      </c>
      <c r="R69" s="201">
        <f t="shared" si="7"/>
        <v>30985</v>
      </c>
      <c r="S69" s="236"/>
      <c r="T69" s="503">
        <f>35+2</f>
        <v>37</v>
      </c>
      <c r="U69" s="503">
        <f>2843+ 292</f>
        <v>3135</v>
      </c>
      <c r="V69" s="201">
        <f>30638+(299*0.1)</f>
        <v>30667.9</v>
      </c>
      <c r="W69" s="201"/>
      <c r="X69" s="201">
        <v>0</v>
      </c>
      <c r="Y69" s="201">
        <v>0</v>
      </c>
      <c r="Z69" s="201">
        <v>312</v>
      </c>
      <c r="AA69" s="201">
        <v>190</v>
      </c>
      <c r="AB69" s="201"/>
      <c r="AC69" s="201">
        <v>19565</v>
      </c>
      <c r="AD69" s="201">
        <v>0</v>
      </c>
      <c r="AE69" s="402">
        <v>18572</v>
      </c>
      <c r="AF69" s="402">
        <v>814</v>
      </c>
      <c r="AG69" s="431">
        <v>0</v>
      </c>
    </row>
    <row r="70" spans="2:33" x14ac:dyDescent="0.5">
      <c r="B70" s="400">
        <v>2015</v>
      </c>
      <c r="C70" s="401">
        <v>384</v>
      </c>
      <c r="D70" s="401">
        <v>0</v>
      </c>
      <c r="E70" s="401">
        <v>60</v>
      </c>
      <c r="F70" s="401">
        <v>0</v>
      </c>
      <c r="G70" s="401">
        <v>3</v>
      </c>
      <c r="H70" s="401">
        <v>958</v>
      </c>
      <c r="I70" s="401">
        <f>492*0.15</f>
        <v>73.8</v>
      </c>
      <c r="J70" s="402">
        <f t="shared" si="8"/>
        <v>1478.8</v>
      </c>
      <c r="K70" s="402">
        <v>270</v>
      </c>
      <c r="L70" s="403"/>
      <c r="M70" s="404">
        <v>81</v>
      </c>
      <c r="N70" s="402">
        <v>29517</v>
      </c>
      <c r="O70" s="402">
        <v>0</v>
      </c>
      <c r="P70" s="402">
        <v>0</v>
      </c>
      <c r="Q70" s="402">
        <v>308</v>
      </c>
      <c r="R70" s="201">
        <f t="shared" si="7"/>
        <v>30095</v>
      </c>
      <c r="S70" s="236"/>
      <c r="T70" s="432">
        <f>T69*0.5</f>
        <v>18.5</v>
      </c>
      <c r="U70" s="503">
        <v>982</v>
      </c>
      <c r="V70" s="201">
        <f>27319+(274*0.15)</f>
        <v>27360.1</v>
      </c>
      <c r="W70" s="201">
        <f>24897+(141*0.15)</f>
        <v>24918.15</v>
      </c>
      <c r="X70" s="201">
        <v>18</v>
      </c>
      <c r="Y70" s="201">
        <v>288</v>
      </c>
      <c r="Z70" s="201">
        <v>102</v>
      </c>
      <c r="AA70" s="201">
        <v>0</v>
      </c>
      <c r="AB70" s="201"/>
      <c r="AC70" s="201">
        <v>9065</v>
      </c>
      <c r="AD70" s="201">
        <v>0</v>
      </c>
      <c r="AE70" s="402">
        <v>23050</v>
      </c>
      <c r="AF70" s="402">
        <v>522</v>
      </c>
      <c r="AG70" s="431">
        <v>0</v>
      </c>
    </row>
    <row r="71" spans="2:33" x14ac:dyDescent="0.5">
      <c r="B71" s="400">
        <v>2016</v>
      </c>
      <c r="C71" s="401">
        <v>356</v>
      </c>
      <c r="D71" s="401">
        <v>0</v>
      </c>
      <c r="E71" s="401">
        <v>7</v>
      </c>
      <c r="F71" s="401">
        <v>0</v>
      </c>
      <c r="G71" s="401">
        <v>0</v>
      </c>
      <c r="H71" s="401">
        <v>744</v>
      </c>
      <c r="I71" s="401">
        <f>132*0.15</f>
        <v>19.8</v>
      </c>
      <c r="J71" s="402">
        <f t="shared" si="8"/>
        <v>1126.8</v>
      </c>
      <c r="K71" s="402">
        <v>680</v>
      </c>
      <c r="L71" s="403"/>
      <c r="M71" s="404">
        <v>200</v>
      </c>
      <c r="N71" s="402">
        <f>16617-680</f>
        <v>15937</v>
      </c>
      <c r="O71" s="402"/>
      <c r="P71" s="402"/>
      <c r="Q71" s="402">
        <v>66</v>
      </c>
      <c r="R71" s="201">
        <f t="shared" si="7"/>
        <v>16683</v>
      </c>
      <c r="S71" s="236"/>
      <c r="T71" s="405">
        <v>10</v>
      </c>
      <c r="U71" s="405">
        <v>1524</v>
      </c>
      <c r="V71" s="405"/>
      <c r="W71" s="405"/>
      <c r="X71" s="406" t="s">
        <v>163</v>
      </c>
      <c r="Y71" s="405"/>
      <c r="Z71" s="405"/>
      <c r="AA71" s="405"/>
      <c r="AB71" s="201"/>
      <c r="AC71" s="405"/>
      <c r="AD71" s="201"/>
      <c r="AE71" s="404"/>
      <c r="AF71" s="404"/>
      <c r="AG71" s="407"/>
    </row>
    <row r="72" spans="2:33" ht="13.2" thickBot="1" x14ac:dyDescent="0.55000000000000004">
      <c r="B72" s="400">
        <v>2017</v>
      </c>
      <c r="C72" s="373">
        <v>0</v>
      </c>
      <c r="D72" s="373">
        <v>0</v>
      </c>
      <c r="E72" s="373">
        <v>15</v>
      </c>
      <c r="F72" s="373">
        <v>0</v>
      </c>
      <c r="G72" s="373">
        <v>0</v>
      </c>
      <c r="H72" s="373">
        <v>264</v>
      </c>
      <c r="I72" s="373">
        <f>ROUND(71*0.15,0)</f>
        <v>11</v>
      </c>
      <c r="J72" s="402">
        <f t="shared" si="8"/>
        <v>290</v>
      </c>
      <c r="K72" s="373">
        <v>280</v>
      </c>
      <c r="L72" s="373"/>
      <c r="M72" s="373">
        <f>3+3</f>
        <v>6</v>
      </c>
      <c r="N72" s="373">
        <v>4200</v>
      </c>
      <c r="O72" s="373">
        <v>0</v>
      </c>
      <c r="P72" s="373">
        <v>0</v>
      </c>
      <c r="Q72" s="373">
        <v>0</v>
      </c>
      <c r="R72" s="201">
        <f t="shared" si="7"/>
        <v>4480</v>
      </c>
      <c r="S72" s="374"/>
      <c r="T72" s="408">
        <v>0</v>
      </c>
      <c r="U72" s="408">
        <v>885</v>
      </c>
      <c r="V72" s="374">
        <v>2609</v>
      </c>
      <c r="W72" s="374"/>
      <c r="X72" s="409" t="s">
        <v>163</v>
      </c>
      <c r="Y72" s="374"/>
      <c r="Z72" s="374"/>
      <c r="AA72" s="374"/>
      <c r="AB72" s="374"/>
      <c r="AC72" s="374"/>
      <c r="AD72" s="374"/>
      <c r="AE72" s="374"/>
      <c r="AF72" s="374">
        <v>263</v>
      </c>
      <c r="AG72" s="375"/>
    </row>
    <row r="73" spans="2:33" ht="13.2" thickTop="1" x14ac:dyDescent="0.5"/>
  </sheetData>
  <mergeCells count="4">
    <mergeCell ref="V29:AG29"/>
    <mergeCell ref="J30:J32"/>
    <mergeCell ref="C31:D31"/>
    <mergeCell ref="AD31:AF31"/>
  </mergeCells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00B050"/>
  </sheetPr>
  <dimension ref="A1:C26"/>
  <sheetViews>
    <sheetView workbookViewId="0">
      <selection activeCell="E23" sqref="E23"/>
    </sheetView>
  </sheetViews>
  <sheetFormatPr defaultColWidth="8.87890625" defaultRowHeight="12.9" x14ac:dyDescent="0.5"/>
  <cols>
    <col min="1" max="1" width="17" style="588" customWidth="1"/>
    <col min="2" max="2" width="11.41015625" style="588" customWidth="1"/>
    <col min="3" max="3" width="13.87890625" style="588" customWidth="1"/>
    <col min="4" max="16384" width="8.87890625" style="588"/>
  </cols>
  <sheetData>
    <row r="1" spans="1:3" ht="14.4" x14ac:dyDescent="0.5">
      <c r="A1" s="596"/>
      <c r="B1" s="598" t="s">
        <v>734</v>
      </c>
      <c r="C1" s="598" t="s">
        <v>735</v>
      </c>
    </row>
    <row r="2" spans="1:3" ht="14.4" x14ac:dyDescent="0.5">
      <c r="A2" s="597" t="s">
        <v>248</v>
      </c>
      <c r="B2" s="611">
        <v>7950</v>
      </c>
      <c r="C2" s="611">
        <v>6483</v>
      </c>
    </row>
    <row r="3" spans="1:3" ht="14.4" x14ac:dyDescent="0.5">
      <c r="A3" s="597" t="s">
        <v>249</v>
      </c>
      <c r="B3" s="612">
        <v>4950</v>
      </c>
      <c r="C3" s="612">
        <v>3888</v>
      </c>
    </row>
    <row r="4" spans="1:3" ht="14.4" x14ac:dyDescent="0.5">
      <c r="A4" s="597" t="s">
        <v>250</v>
      </c>
      <c r="B4" s="612">
        <v>4650</v>
      </c>
      <c r="C4" s="612">
        <v>3629</v>
      </c>
    </row>
    <row r="5" spans="1:3" ht="14.4" x14ac:dyDescent="0.5">
      <c r="A5" s="597" t="s">
        <v>251</v>
      </c>
      <c r="B5" s="612">
        <v>300</v>
      </c>
      <c r="C5" s="612">
        <v>259</v>
      </c>
    </row>
    <row r="6" spans="1:3" ht="14.4" x14ac:dyDescent="0.5">
      <c r="A6" s="597" t="s">
        <v>577</v>
      </c>
      <c r="B6" s="612">
        <v>3000</v>
      </c>
      <c r="C6" s="612">
        <v>2595</v>
      </c>
    </row>
    <row r="7" spans="1:3" ht="14.4" x14ac:dyDescent="0.5">
      <c r="A7" s="667" t="s">
        <v>206</v>
      </c>
      <c r="B7" s="611">
        <v>158000</v>
      </c>
      <c r="C7" s="611">
        <v>69338</v>
      </c>
    </row>
    <row r="8" spans="1:3" ht="14.4" x14ac:dyDescent="0.5">
      <c r="A8" s="597" t="s">
        <v>249</v>
      </c>
      <c r="B8" s="612">
        <v>113200</v>
      </c>
      <c r="C8" s="612">
        <v>47613</v>
      </c>
    </row>
    <row r="9" spans="1:3" ht="14.4" x14ac:dyDescent="0.5">
      <c r="A9" s="597" t="s">
        <v>250</v>
      </c>
      <c r="B9" s="612">
        <v>107000</v>
      </c>
      <c r="C9" s="612">
        <v>45430</v>
      </c>
    </row>
    <row r="10" spans="1:3" ht="14.4" x14ac:dyDescent="0.5">
      <c r="A10" s="597" t="s">
        <v>251</v>
      </c>
      <c r="B10" s="612">
        <v>6200</v>
      </c>
      <c r="C10" s="612">
        <v>2183</v>
      </c>
    </row>
    <row r="11" spans="1:3" ht="14.4" x14ac:dyDescent="0.5">
      <c r="A11" s="597" t="s">
        <v>577</v>
      </c>
      <c r="B11" s="612">
        <v>44800</v>
      </c>
      <c r="C11" s="612">
        <v>21725</v>
      </c>
    </row>
    <row r="12" spans="1:3" ht="14.4" x14ac:dyDescent="0.5">
      <c r="A12" s="667" t="s">
        <v>207</v>
      </c>
      <c r="B12" s="611">
        <v>24400</v>
      </c>
      <c r="C12" s="611">
        <v>24662</v>
      </c>
    </row>
    <row r="13" spans="1:3" ht="14.4" x14ac:dyDescent="0.5">
      <c r="A13" s="597" t="s">
        <v>249</v>
      </c>
      <c r="B13" s="611">
        <v>21000</v>
      </c>
      <c r="C13" s="612">
        <v>22280</v>
      </c>
    </row>
    <row r="14" spans="1:3" ht="14.4" x14ac:dyDescent="0.5">
      <c r="A14" s="597" t="s">
        <v>250</v>
      </c>
      <c r="B14" s="612">
        <v>17700</v>
      </c>
      <c r="C14" s="612">
        <v>19056</v>
      </c>
    </row>
    <row r="15" spans="1:3" ht="14.4" x14ac:dyDescent="0.5">
      <c r="A15" s="597" t="s">
        <v>251</v>
      </c>
      <c r="B15" s="612">
        <v>3300</v>
      </c>
      <c r="C15" s="612">
        <v>3224</v>
      </c>
    </row>
    <row r="16" spans="1:3" ht="14.4" x14ac:dyDescent="0.5">
      <c r="A16" s="597" t="s">
        <v>577</v>
      </c>
      <c r="B16" s="611">
        <v>3400</v>
      </c>
      <c r="C16" s="612">
        <v>2382</v>
      </c>
    </row>
    <row r="17" spans="1:3" ht="14.4" x14ac:dyDescent="0.5">
      <c r="A17" s="597" t="s">
        <v>254</v>
      </c>
      <c r="B17" s="611">
        <v>182400</v>
      </c>
      <c r="C17" s="611">
        <v>94000</v>
      </c>
    </row>
    <row r="18" spans="1:3" ht="14.4" x14ac:dyDescent="0.5">
      <c r="A18" s="597" t="s">
        <v>249</v>
      </c>
      <c r="B18" s="612">
        <v>134200</v>
      </c>
      <c r="C18" s="612">
        <v>69893</v>
      </c>
    </row>
    <row r="19" spans="1:3" ht="14.4" x14ac:dyDescent="0.5">
      <c r="A19" s="597" t="s">
        <v>250</v>
      </c>
      <c r="B19" s="612">
        <v>124700</v>
      </c>
      <c r="C19" s="612">
        <v>64486</v>
      </c>
    </row>
    <row r="20" spans="1:3" ht="14.4" x14ac:dyDescent="0.5">
      <c r="A20" s="597" t="s">
        <v>251</v>
      </c>
      <c r="B20" s="612">
        <v>9500</v>
      </c>
      <c r="C20" s="612">
        <v>5407</v>
      </c>
    </row>
    <row r="21" spans="1:3" ht="14.4" x14ac:dyDescent="0.5">
      <c r="A21" s="597" t="s">
        <v>577</v>
      </c>
      <c r="B21" s="612">
        <v>48200</v>
      </c>
      <c r="C21" s="611">
        <v>24107</v>
      </c>
    </row>
    <row r="22" spans="1:3" ht="14.4" x14ac:dyDescent="0.5">
      <c r="A22" s="597" t="s">
        <v>255</v>
      </c>
      <c r="B22" s="611">
        <v>190350</v>
      </c>
      <c r="C22" s="611">
        <v>100483</v>
      </c>
    </row>
    <row r="23" spans="1:3" ht="14.4" x14ac:dyDescent="0.5">
      <c r="A23" s="597" t="s">
        <v>249</v>
      </c>
      <c r="B23" s="612">
        <v>139150</v>
      </c>
      <c r="C23" s="612">
        <v>73781</v>
      </c>
    </row>
    <row r="24" spans="1:3" ht="14.4" x14ac:dyDescent="0.5">
      <c r="A24" s="597" t="s">
        <v>250</v>
      </c>
      <c r="B24" s="612">
        <v>129350</v>
      </c>
      <c r="C24" s="612">
        <v>68115</v>
      </c>
    </row>
    <row r="25" spans="1:3" ht="14.4" x14ac:dyDescent="0.5">
      <c r="A25" s="597" t="s">
        <v>251</v>
      </c>
      <c r="B25" s="612">
        <v>9800</v>
      </c>
      <c r="C25" s="612">
        <v>5666</v>
      </c>
    </row>
    <row r="26" spans="1:3" ht="14.4" x14ac:dyDescent="0.5">
      <c r="A26" s="597" t="s">
        <v>577</v>
      </c>
      <c r="B26" s="612">
        <v>51200</v>
      </c>
      <c r="C26" s="612">
        <v>26702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00B050"/>
  </sheetPr>
  <dimension ref="A2:BF116"/>
  <sheetViews>
    <sheetView workbookViewId="0">
      <selection activeCell="D47" sqref="D47"/>
    </sheetView>
  </sheetViews>
  <sheetFormatPr defaultColWidth="9.1171875" defaultRowHeight="12.9" x14ac:dyDescent="0.5"/>
  <cols>
    <col min="1" max="2" width="9.1171875" style="89"/>
    <col min="3" max="3" width="11" style="89" customWidth="1"/>
    <col min="4" max="4" width="9.1171875" style="89"/>
    <col min="5" max="5" width="11.87890625" style="89" customWidth="1"/>
    <col min="6" max="9" width="9.1171875" style="89"/>
    <col min="10" max="10" width="15" style="89" customWidth="1"/>
    <col min="11" max="13" width="9.1171875" style="89"/>
    <col min="14" max="14" width="6.87890625" style="89" bestFit="1" customWidth="1"/>
    <col min="15" max="15" width="6.64453125" style="89" bestFit="1" customWidth="1"/>
    <col min="16" max="16" width="6.87890625" style="89" bestFit="1" customWidth="1"/>
    <col min="17" max="17" width="6.64453125" style="89" bestFit="1" customWidth="1"/>
    <col min="18" max="18" width="7.64453125" style="89" bestFit="1" customWidth="1"/>
    <col min="19" max="19" width="6.64453125" style="89" bestFit="1" customWidth="1"/>
    <col min="20" max="20" width="6.87890625" style="89" bestFit="1" customWidth="1"/>
    <col min="21" max="21" width="6.64453125" style="89" bestFit="1" customWidth="1"/>
    <col min="22" max="22" width="7.64453125" style="89" bestFit="1" customWidth="1"/>
    <col min="23" max="23" width="6.64453125" style="89" bestFit="1" customWidth="1"/>
    <col min="24" max="24" width="6.87890625" style="89" bestFit="1" customWidth="1"/>
    <col min="25" max="25" width="6.64453125" style="89" bestFit="1" customWidth="1"/>
    <col min="26" max="26" width="7.64453125" style="89" bestFit="1" customWidth="1"/>
    <col min="27" max="27" width="6.64453125" style="89" bestFit="1" customWidth="1"/>
    <col min="28" max="28" width="6.87890625" style="89" bestFit="1" customWidth="1"/>
    <col min="29" max="29" width="6.64453125" style="89" bestFit="1" customWidth="1"/>
    <col min="30" max="30" width="6.64453125" style="89" customWidth="1"/>
    <col min="31" max="16384" width="9.1171875" style="89"/>
  </cols>
  <sheetData>
    <row r="2" spans="1:56" ht="14.4" x14ac:dyDescent="0.5">
      <c r="B2" s="336" t="s">
        <v>185</v>
      </c>
    </row>
    <row r="3" spans="1:56" x14ac:dyDescent="0.5">
      <c r="AS3" s="89" t="s">
        <v>186</v>
      </c>
    </row>
    <row r="4" spans="1:56" ht="12.75" customHeight="1" x14ac:dyDescent="0.5">
      <c r="B4" s="154"/>
      <c r="C4" s="155" t="s">
        <v>187</v>
      </c>
      <c r="D4" s="155"/>
      <c r="E4" s="155"/>
      <c r="F4" s="155"/>
      <c r="G4" s="155"/>
      <c r="H4" s="155"/>
      <c r="I4" s="155"/>
      <c r="J4" s="155"/>
      <c r="K4" s="156"/>
      <c r="M4" s="728" t="s">
        <v>188</v>
      </c>
      <c r="N4" s="729"/>
      <c r="O4" s="729"/>
      <c r="P4" s="729"/>
      <c r="Q4" s="729"/>
      <c r="R4" s="729"/>
      <c r="S4" s="729"/>
      <c r="T4" s="729"/>
      <c r="U4" s="729"/>
      <c r="V4" s="729"/>
      <c r="W4" s="729"/>
      <c r="X4" s="729"/>
      <c r="Y4" s="729"/>
      <c r="Z4" s="729"/>
      <c r="AA4" s="729"/>
      <c r="AB4" s="729"/>
      <c r="AC4" s="730"/>
      <c r="AD4" s="235"/>
      <c r="AF4" s="704" t="s">
        <v>189</v>
      </c>
      <c r="AG4" s="704"/>
      <c r="AH4" s="704"/>
      <c r="AI4" s="714"/>
      <c r="AJ4" s="714" t="s">
        <v>190</v>
      </c>
      <c r="AK4" s="714"/>
      <c r="AL4" s="714"/>
      <c r="AM4" s="705"/>
      <c r="AS4" s="89" t="s">
        <v>191</v>
      </c>
      <c r="AW4" s="703" t="s">
        <v>189</v>
      </c>
      <c r="AX4" s="704"/>
      <c r="AY4" s="704"/>
      <c r="AZ4" s="705"/>
      <c r="BA4" s="713" t="s">
        <v>190</v>
      </c>
      <c r="BB4" s="714"/>
      <c r="BC4" s="714"/>
      <c r="BD4" s="705"/>
    </row>
    <row r="5" spans="1:56" ht="21.6" x14ac:dyDescent="0.5">
      <c r="B5" s="157" t="s">
        <v>55</v>
      </c>
      <c r="C5" s="158" t="s">
        <v>192</v>
      </c>
      <c r="D5" s="158" t="s">
        <v>193</v>
      </c>
      <c r="E5" s="158" t="s">
        <v>194</v>
      </c>
      <c r="F5" s="158" t="s">
        <v>75</v>
      </c>
      <c r="G5" s="158" t="s">
        <v>195</v>
      </c>
      <c r="H5" s="158" t="s">
        <v>91</v>
      </c>
      <c r="I5" s="158" t="s">
        <v>196</v>
      </c>
      <c r="J5" s="158" t="s">
        <v>92</v>
      </c>
      <c r="K5" s="159" t="s">
        <v>197</v>
      </c>
      <c r="M5" s="173"/>
      <c r="N5" s="704" t="s">
        <v>198</v>
      </c>
      <c r="O5" s="704"/>
      <c r="P5" s="704"/>
      <c r="Q5" s="704"/>
      <c r="R5" s="703" t="s">
        <v>199</v>
      </c>
      <c r="S5" s="704"/>
      <c r="T5" s="704"/>
      <c r="U5" s="712"/>
      <c r="V5" s="704" t="s">
        <v>200</v>
      </c>
      <c r="W5" s="704"/>
      <c r="X5" s="704"/>
      <c r="Y5" s="704"/>
      <c r="Z5" s="725" t="s">
        <v>201</v>
      </c>
      <c r="AA5" s="726"/>
      <c r="AB5" s="726"/>
      <c r="AC5" s="731"/>
      <c r="AD5" s="188"/>
      <c r="AF5" s="706" t="s">
        <v>202</v>
      </c>
      <c r="AG5" s="707"/>
      <c r="AH5" s="707" t="s">
        <v>203</v>
      </c>
      <c r="AI5" s="708"/>
      <c r="AJ5" s="706" t="s">
        <v>202</v>
      </c>
      <c r="AK5" s="707"/>
      <c r="AL5" s="707" t="s">
        <v>203</v>
      </c>
      <c r="AM5" s="708"/>
      <c r="AN5" s="706" t="s">
        <v>202</v>
      </c>
      <c r="AO5" s="707"/>
      <c r="AP5" s="707" t="s">
        <v>203</v>
      </c>
      <c r="AQ5" s="708"/>
      <c r="AR5" s="514"/>
      <c r="AS5" s="706" t="s">
        <v>202</v>
      </c>
      <c r="AT5" s="707"/>
      <c r="AU5" s="707" t="s">
        <v>203</v>
      </c>
      <c r="AV5" s="708"/>
      <c r="AW5" s="706" t="s">
        <v>202</v>
      </c>
      <c r="AX5" s="707"/>
      <c r="AY5" s="707" t="s">
        <v>203</v>
      </c>
      <c r="AZ5" s="708"/>
      <c r="BA5" s="706" t="s">
        <v>202</v>
      </c>
      <c r="BB5" s="707"/>
      <c r="BC5" s="707" t="s">
        <v>203</v>
      </c>
      <c r="BD5" s="708"/>
    </row>
    <row r="6" spans="1:56" x14ac:dyDescent="0.5">
      <c r="A6" s="89">
        <v>8503</v>
      </c>
      <c r="B6" s="66">
        <v>2008</v>
      </c>
      <c r="C6" s="67">
        <f>N8</f>
        <v>386.27680562323133</v>
      </c>
      <c r="D6" s="67">
        <f>R8</f>
        <v>2025.7757842668886</v>
      </c>
      <c r="E6" s="67">
        <f>BonSThd!F47</f>
        <v>162829</v>
      </c>
      <c r="F6" s="67">
        <v>8503</v>
      </c>
      <c r="G6" s="67">
        <f>V8</f>
        <v>8032.6720590027908</v>
      </c>
      <c r="H6" s="67">
        <f>C6+D6+G6</f>
        <v>10444.72464889291</v>
      </c>
      <c r="I6" s="68">
        <f>H6/E6</f>
        <v>6.4145358928034385E-2</v>
      </c>
      <c r="J6" s="67">
        <f t="shared" ref="J6:J12" si="0">F6</f>
        <v>8503</v>
      </c>
      <c r="K6" s="69">
        <f>J6/E6</f>
        <v>5.2220427565114323E-2</v>
      </c>
      <c r="M6" s="112" t="s">
        <v>55</v>
      </c>
      <c r="N6" s="738" t="s">
        <v>204</v>
      </c>
      <c r="O6" s="738"/>
      <c r="P6" s="738" t="s">
        <v>205</v>
      </c>
      <c r="Q6" s="738"/>
      <c r="R6" s="746" t="s">
        <v>181</v>
      </c>
      <c r="S6" s="738"/>
      <c r="T6" s="738" t="s">
        <v>205</v>
      </c>
      <c r="U6" s="739"/>
      <c r="V6" s="738" t="s">
        <v>181</v>
      </c>
      <c r="W6" s="738"/>
      <c r="X6" s="738" t="s">
        <v>205</v>
      </c>
      <c r="Y6" s="738"/>
      <c r="Z6" s="703" t="s">
        <v>181</v>
      </c>
      <c r="AA6" s="704"/>
      <c r="AB6" s="704" t="s">
        <v>205</v>
      </c>
      <c r="AC6" s="712"/>
      <c r="AD6" s="510"/>
      <c r="AF6" s="514" t="s">
        <v>206</v>
      </c>
      <c r="AG6" s="514" t="s">
        <v>207</v>
      </c>
      <c r="AH6" s="514" t="s">
        <v>206</v>
      </c>
      <c r="AI6" s="515" t="s">
        <v>207</v>
      </c>
      <c r="AJ6" s="514" t="s">
        <v>206</v>
      </c>
      <c r="AK6" s="514" t="s">
        <v>207</v>
      </c>
      <c r="AL6" s="514" t="s">
        <v>206</v>
      </c>
      <c r="AM6" s="515" t="s">
        <v>207</v>
      </c>
      <c r="AN6" s="514" t="s">
        <v>206</v>
      </c>
      <c r="AO6" s="514" t="s">
        <v>207</v>
      </c>
      <c r="AP6" s="514" t="s">
        <v>206</v>
      </c>
      <c r="AQ6" s="515" t="s">
        <v>207</v>
      </c>
      <c r="AR6" s="514"/>
      <c r="AS6" s="514" t="s">
        <v>206</v>
      </c>
      <c r="AT6" s="514" t="s">
        <v>207</v>
      </c>
      <c r="AU6" s="514" t="s">
        <v>206</v>
      </c>
      <c r="AV6" s="515" t="s">
        <v>207</v>
      </c>
      <c r="AW6" s="175" t="s">
        <v>206</v>
      </c>
      <c r="AX6" s="176" t="s">
        <v>207</v>
      </c>
      <c r="AY6" s="176" t="s">
        <v>206</v>
      </c>
      <c r="AZ6" s="177" t="s">
        <v>207</v>
      </c>
      <c r="BA6" s="175" t="s">
        <v>206</v>
      </c>
      <c r="BB6" s="176" t="s">
        <v>207</v>
      </c>
      <c r="BC6" s="176" t="s">
        <v>206</v>
      </c>
      <c r="BD6" s="177" t="s">
        <v>207</v>
      </c>
    </row>
    <row r="7" spans="1:56" x14ac:dyDescent="0.5">
      <c r="A7" s="89">
        <v>21340</v>
      </c>
      <c r="B7" s="66">
        <v>2009</v>
      </c>
      <c r="C7" s="67">
        <f t="shared" ref="C7:C12" si="1">N9</f>
        <v>739.85674332506971</v>
      </c>
      <c r="D7" s="67">
        <f t="shared" ref="D7:D12" si="2">R9</f>
        <v>7049.398392302468</v>
      </c>
      <c r="E7" s="67">
        <f>BonSThd!F48</f>
        <v>391129</v>
      </c>
      <c r="F7" s="67">
        <v>21340</v>
      </c>
      <c r="G7" s="67">
        <f t="shared" ref="G7:G12" si="3">V9</f>
        <v>28260.895147539555</v>
      </c>
      <c r="H7" s="67">
        <f t="shared" ref="H7:H12" si="4">C7+D7+G7</f>
        <v>36050.150283167095</v>
      </c>
      <c r="I7" s="68">
        <f t="shared" ref="I7:I12" si="5">H7/E7</f>
        <v>9.2169463995681974E-2</v>
      </c>
      <c r="J7" s="67">
        <f t="shared" si="0"/>
        <v>21340</v>
      </c>
      <c r="K7" s="69">
        <f t="shared" ref="K7:K12" si="6">J7/E7</f>
        <v>5.4560004499794187E-2</v>
      </c>
      <c r="M7" s="174"/>
      <c r="N7" s="175" t="s">
        <v>208</v>
      </c>
      <c r="O7" s="176" t="s">
        <v>209</v>
      </c>
      <c r="P7" s="176" t="s">
        <v>208</v>
      </c>
      <c r="Q7" s="176" t="s">
        <v>209</v>
      </c>
      <c r="R7" s="175" t="s">
        <v>208</v>
      </c>
      <c r="S7" s="176" t="s">
        <v>209</v>
      </c>
      <c r="T7" s="176" t="s">
        <v>208</v>
      </c>
      <c r="U7" s="177" t="s">
        <v>209</v>
      </c>
      <c r="V7" s="176" t="s">
        <v>208</v>
      </c>
      <c r="W7" s="176" t="s">
        <v>209</v>
      </c>
      <c r="X7" s="176" t="s">
        <v>208</v>
      </c>
      <c r="Y7" s="176" t="s">
        <v>209</v>
      </c>
      <c r="Z7" s="175" t="s">
        <v>208</v>
      </c>
      <c r="AA7" s="176" t="s">
        <v>209</v>
      </c>
      <c r="AB7" s="176" t="s">
        <v>208</v>
      </c>
      <c r="AC7" s="177" t="s">
        <v>209</v>
      </c>
      <c r="AD7" s="515"/>
      <c r="AE7" s="112">
        <v>2008</v>
      </c>
      <c r="AF7" s="232">
        <v>2734.0331685727888</v>
      </c>
      <c r="AG7" s="232">
        <v>2366.9668314272112</v>
      </c>
      <c r="AH7" s="232">
        <v>106.30461277086454</v>
      </c>
      <c r="AI7" s="232">
        <v>57.471868967512108</v>
      </c>
      <c r="AJ7" s="233">
        <v>3863.638890430002</v>
      </c>
      <c r="AK7" s="232">
        <v>2430.361109569998</v>
      </c>
      <c r="AL7" s="232">
        <v>141.1568292455367</v>
      </c>
      <c r="AM7" s="232">
        <v>57.584911266966529</v>
      </c>
      <c r="AN7" s="239">
        <f>AF7+AJ7</f>
        <v>6597.6720590027908</v>
      </c>
      <c r="AO7" s="239">
        <f t="shared" ref="AO7:AQ15" si="7">AG7+AK7</f>
        <v>4797.3279409972092</v>
      </c>
      <c r="AP7" s="239">
        <f t="shared" si="7"/>
        <v>247.46144201640124</v>
      </c>
      <c r="AQ7" s="239">
        <f t="shared" si="7"/>
        <v>115.05678023447864</v>
      </c>
      <c r="AR7" s="239"/>
      <c r="AS7" s="237">
        <f>AW7+BA7</f>
        <v>8032.6720590027908</v>
      </c>
      <c r="AT7" s="237">
        <f t="shared" ref="AT7:AV7" si="8">AX7+BB7</f>
        <v>4862.8097052041649</v>
      </c>
      <c r="AU7" s="237">
        <f t="shared" si="8"/>
        <v>278.38774892700258</v>
      </c>
      <c r="AV7" s="237">
        <f t="shared" si="8"/>
        <v>144.33145577187469</v>
      </c>
      <c r="AW7" s="232">
        <v>4169.0331685727888</v>
      </c>
      <c r="AX7" s="232">
        <v>2432.4485956341664</v>
      </c>
      <c r="AY7" s="232">
        <v>137.23091968146585</v>
      </c>
      <c r="AZ7" s="232">
        <v>86.746544504908172</v>
      </c>
      <c r="BA7" s="233">
        <v>3863.638890430002</v>
      </c>
      <c r="BB7" s="232">
        <v>2430.361109569998</v>
      </c>
      <c r="BC7" s="232">
        <v>141.1568292455367</v>
      </c>
      <c r="BD7" s="232">
        <v>57.584911266966529</v>
      </c>
    </row>
    <row r="8" spans="1:56" x14ac:dyDescent="0.5">
      <c r="A8" s="89">
        <v>9835</v>
      </c>
      <c r="B8" s="66">
        <v>2010</v>
      </c>
      <c r="C8" s="67">
        <f t="shared" si="1"/>
        <v>460.06082229799262</v>
      </c>
      <c r="D8" s="67">
        <f t="shared" si="2"/>
        <v>5090.1576410074258</v>
      </c>
      <c r="E8" s="67">
        <f>BonSThd!F49</f>
        <v>178194</v>
      </c>
      <c r="F8" s="67">
        <v>9835</v>
      </c>
      <c r="G8" s="67">
        <f t="shared" si="3"/>
        <v>10981.565437779813</v>
      </c>
      <c r="H8" s="67">
        <f t="shared" si="4"/>
        <v>16531.783901085233</v>
      </c>
      <c r="I8" s="68">
        <f t="shared" si="5"/>
        <v>9.2774077135510918E-2</v>
      </c>
      <c r="J8" s="67">
        <f t="shared" si="0"/>
        <v>9835</v>
      </c>
      <c r="K8" s="69">
        <f t="shared" si="6"/>
        <v>5.519265519602231E-2</v>
      </c>
      <c r="M8" s="183">
        <v>2008</v>
      </c>
      <c r="N8" s="184">
        <v>386.27680562323133</v>
      </c>
      <c r="O8" s="178">
        <v>269.7606036177412</v>
      </c>
      <c r="P8" s="178">
        <v>140.80020300135973</v>
      </c>
      <c r="Q8" s="178">
        <v>63.165175979890044</v>
      </c>
      <c r="R8" s="179">
        <v>2025.7757842668886</v>
      </c>
      <c r="S8" s="180">
        <v>562.22421573311135</v>
      </c>
      <c r="T8" s="180">
        <v>99.332040348700417</v>
      </c>
      <c r="U8" s="181">
        <v>21.967959651299587</v>
      </c>
      <c r="V8" s="230">
        <v>8032.6720590027908</v>
      </c>
      <c r="W8" s="230">
        <v>4862.8097052041649</v>
      </c>
      <c r="X8" s="230">
        <v>278.38774892700258</v>
      </c>
      <c r="Y8" s="230">
        <v>144.33145577187469</v>
      </c>
      <c r="Z8" s="179">
        <v>9009.7246488929104</v>
      </c>
      <c r="AA8" s="180">
        <v>5629.3127603480616</v>
      </c>
      <c r="AB8" s="180">
        <v>487.59368536646139</v>
      </c>
      <c r="AC8" s="182">
        <v>200.18991586566827</v>
      </c>
      <c r="AD8" s="181"/>
      <c r="AE8" s="112">
        <v>2009</v>
      </c>
      <c r="AF8" s="232">
        <v>6023.4978501843143</v>
      </c>
      <c r="AG8" s="232">
        <v>2812.5021498156862</v>
      </c>
      <c r="AH8" s="232">
        <v>215.62983744830672</v>
      </c>
      <c r="AI8" s="232">
        <v>99.932979289744878</v>
      </c>
      <c r="AJ8" s="233">
        <v>19653.397297355241</v>
      </c>
      <c r="AK8" s="232">
        <v>3040.1027026447591</v>
      </c>
      <c r="AL8" s="232">
        <v>600.05390176510605</v>
      </c>
      <c r="AM8" s="232">
        <v>125.7942371829258</v>
      </c>
      <c r="AN8" s="239">
        <f t="shared" ref="AN8:AN15" si="9">AF8+AJ8</f>
        <v>25676.895147539555</v>
      </c>
      <c r="AO8" s="239">
        <f t="shared" si="7"/>
        <v>5852.6048524604448</v>
      </c>
      <c r="AP8" s="239">
        <f t="shared" si="7"/>
        <v>815.68373921341276</v>
      </c>
      <c r="AQ8" s="239">
        <f t="shared" si="7"/>
        <v>225.72721647267068</v>
      </c>
      <c r="AR8" s="239"/>
      <c r="AS8" s="237">
        <f t="shared" ref="AS8:AS15" si="10">AW8+BA8</f>
        <v>28260.895147539555</v>
      </c>
      <c r="AT8" s="237">
        <f t="shared" ref="AT8:AT15" si="11">AX8+BB8</f>
        <v>5976.1470240261315</v>
      </c>
      <c r="AU8" s="237">
        <f t="shared" ref="AU8:AU15" si="12">AY8+BC8</f>
        <v>885.7212309555689</v>
      </c>
      <c r="AV8" s="237">
        <f t="shared" ref="AV8:AV14" si="13">AZ8+BD8</f>
        <v>278.12312436637689</v>
      </c>
      <c r="AW8" s="232">
        <v>8607.4978501843143</v>
      </c>
      <c r="AX8" s="232">
        <v>2936.0443213813728</v>
      </c>
      <c r="AY8" s="232">
        <v>285.66732919046279</v>
      </c>
      <c r="AZ8" s="232">
        <v>152.32888718345109</v>
      </c>
      <c r="BA8" s="233">
        <v>19653.397297355241</v>
      </c>
      <c r="BB8" s="232">
        <v>3040.1027026447591</v>
      </c>
      <c r="BC8" s="232">
        <v>600.05390176510605</v>
      </c>
      <c r="BD8" s="232">
        <v>125.7942371829258</v>
      </c>
    </row>
    <row r="9" spans="1:56" x14ac:dyDescent="0.5">
      <c r="A9" s="89">
        <v>12657</v>
      </c>
      <c r="B9" s="66">
        <v>2011</v>
      </c>
      <c r="C9" s="67">
        <f t="shared" si="1"/>
        <v>921.28693184735869</v>
      </c>
      <c r="D9" s="67">
        <f t="shared" si="2"/>
        <v>11191.028220084429</v>
      </c>
      <c r="E9" s="67">
        <f>BonSThd!F50</f>
        <v>206493</v>
      </c>
      <c r="F9" s="67">
        <v>12657</v>
      </c>
      <c r="G9" s="67">
        <f t="shared" si="3"/>
        <v>14193.057606218907</v>
      </c>
      <c r="H9" s="67">
        <f t="shared" si="4"/>
        <v>26305.372758150694</v>
      </c>
      <c r="I9" s="68">
        <f t="shared" si="5"/>
        <v>0.12739111136043688</v>
      </c>
      <c r="J9" s="67">
        <f t="shared" si="0"/>
        <v>12657</v>
      </c>
      <c r="K9" s="69">
        <f t="shared" si="6"/>
        <v>6.129505600674115E-2</v>
      </c>
      <c r="M9" s="183">
        <v>2009</v>
      </c>
      <c r="N9" s="179">
        <v>739.85674332506971</v>
      </c>
      <c r="O9" s="178">
        <v>67.767798702982205</v>
      </c>
      <c r="P9" s="178">
        <v>239.34612743059159</v>
      </c>
      <c r="Q9" s="178">
        <v>29.480037341356383</v>
      </c>
      <c r="R9" s="179">
        <v>7049.398392302468</v>
      </c>
      <c r="S9" s="180">
        <v>275.60160769753168</v>
      </c>
      <c r="T9" s="180">
        <v>411.76228187233363</v>
      </c>
      <c r="U9" s="181">
        <v>26.237718127666419</v>
      </c>
      <c r="V9" s="230">
        <v>28260.895147539555</v>
      </c>
      <c r="W9" s="230">
        <v>5976.1470240261315</v>
      </c>
      <c r="X9" s="230">
        <v>885.7212309555689</v>
      </c>
      <c r="Y9" s="230">
        <v>278.12312436637689</v>
      </c>
      <c r="Z9" s="179">
        <v>33466.150283167095</v>
      </c>
      <c r="AA9" s="180">
        <v>6195.9742588609588</v>
      </c>
      <c r="AB9" s="180">
        <v>1466.7921485163379</v>
      </c>
      <c r="AC9" s="181">
        <v>281.4449719416935</v>
      </c>
      <c r="AD9" s="181"/>
      <c r="AE9" s="112">
        <v>2010</v>
      </c>
      <c r="AF9" s="232">
        <v>2431.7746567337117</v>
      </c>
      <c r="AG9" s="232">
        <v>2255.2253432662883</v>
      </c>
      <c r="AH9" s="232">
        <v>105.13697582589943</v>
      </c>
      <c r="AI9" s="232">
        <v>75.56207523003728</v>
      </c>
      <c r="AJ9" s="233">
        <v>6906.790781046102</v>
      </c>
      <c r="AK9" s="232">
        <v>2881.209218953898</v>
      </c>
      <c r="AL9" s="232">
        <v>313.77720642722659</v>
      </c>
      <c r="AM9" s="232">
        <v>114.04829452414128</v>
      </c>
      <c r="AN9" s="239">
        <f t="shared" si="9"/>
        <v>9338.5654377798128</v>
      </c>
      <c r="AO9" s="239">
        <f t="shared" si="7"/>
        <v>5136.4345622201863</v>
      </c>
      <c r="AP9" s="239">
        <f t="shared" si="7"/>
        <v>418.914182253126</v>
      </c>
      <c r="AQ9" s="239">
        <f t="shared" si="7"/>
        <v>189.61036975417858</v>
      </c>
      <c r="AR9" s="239"/>
      <c r="AS9" s="237">
        <f t="shared" si="10"/>
        <v>10981.565437779813</v>
      </c>
      <c r="AT9" s="237">
        <f t="shared" si="11"/>
        <v>5236.6978138905652</v>
      </c>
      <c r="AU9" s="237">
        <f t="shared" si="12"/>
        <v>449.16614215340701</v>
      </c>
      <c r="AV9" s="237">
        <f t="shared" si="13"/>
        <v>252.14297671701996</v>
      </c>
      <c r="AW9" s="232">
        <v>4074.7746567337117</v>
      </c>
      <c r="AX9" s="232">
        <v>2355.4885949366667</v>
      </c>
      <c r="AY9" s="232">
        <v>135.38893572618042</v>
      </c>
      <c r="AZ9" s="232">
        <v>138.09468219287868</v>
      </c>
      <c r="BA9" s="233">
        <v>6906.790781046102</v>
      </c>
      <c r="BB9" s="232">
        <v>2881.209218953898</v>
      </c>
      <c r="BC9" s="232">
        <v>313.77720642722659</v>
      </c>
      <c r="BD9" s="232">
        <v>114.04829452414128</v>
      </c>
    </row>
    <row r="10" spans="1:56" x14ac:dyDescent="0.5">
      <c r="A10" s="89">
        <v>7256</v>
      </c>
      <c r="B10" s="66">
        <v>2012</v>
      </c>
      <c r="C10" s="67">
        <f t="shared" si="1"/>
        <v>417.7496761966824</v>
      </c>
      <c r="D10" s="67">
        <f t="shared" si="2"/>
        <v>5125.9715150211541</v>
      </c>
      <c r="E10" s="67">
        <f>BonSThd!F51</f>
        <v>120977</v>
      </c>
      <c r="F10" s="67">
        <v>7256</v>
      </c>
      <c r="G10" s="67">
        <f t="shared" si="3"/>
        <v>10215.501968812699</v>
      </c>
      <c r="H10" s="67">
        <f t="shared" si="4"/>
        <v>15759.223160030535</v>
      </c>
      <c r="I10" s="68">
        <f>H10/E10</f>
        <v>0.13026627507733318</v>
      </c>
      <c r="J10" s="67">
        <f t="shared" si="0"/>
        <v>7256</v>
      </c>
      <c r="K10" s="69">
        <f t="shared" si="6"/>
        <v>5.9978342990816433E-2</v>
      </c>
      <c r="M10" s="183">
        <v>2010</v>
      </c>
      <c r="N10" s="179">
        <v>460.06082229799262</v>
      </c>
      <c r="O10" s="178">
        <v>210.19418133916741</v>
      </c>
      <c r="P10" s="178">
        <v>209.67110813167426</v>
      </c>
      <c r="Q10" s="178">
        <v>76.791177839687265</v>
      </c>
      <c r="R10" s="179">
        <v>5090.1576410074258</v>
      </c>
      <c r="S10" s="180">
        <v>953.84235899257476</v>
      </c>
      <c r="T10" s="180">
        <v>275.85440285930315</v>
      </c>
      <c r="U10" s="181">
        <v>63.545597140696863</v>
      </c>
      <c r="V10" s="230">
        <v>10981.565437779813</v>
      </c>
      <c r="W10" s="230">
        <v>5236.6978138905652</v>
      </c>
      <c r="X10" s="230">
        <v>449.16614215340701</v>
      </c>
      <c r="Y10" s="230">
        <v>252.14297671701996</v>
      </c>
      <c r="Z10" s="179">
        <v>14888.783901085231</v>
      </c>
      <c r="AA10" s="180">
        <v>6300.4711025519282</v>
      </c>
      <c r="AB10" s="180">
        <v>904.43969324410341</v>
      </c>
      <c r="AC10" s="181">
        <v>329.9471447345627</v>
      </c>
      <c r="AD10" s="181"/>
      <c r="AE10" s="112">
        <v>2011</v>
      </c>
      <c r="AF10" s="232">
        <v>5648.9860821403763</v>
      </c>
      <c r="AG10" s="232">
        <v>1300.0139178596241</v>
      </c>
      <c r="AH10" s="232">
        <v>246.41937205820017</v>
      </c>
      <c r="AI10" s="232">
        <v>29.348755244072159</v>
      </c>
      <c r="AJ10" s="233">
        <v>7178.0715240785303</v>
      </c>
      <c r="AK10" s="232">
        <v>1529.4284759214693</v>
      </c>
      <c r="AL10" s="232">
        <v>301.51523155602149</v>
      </c>
      <c r="AM10" s="232">
        <v>36.957500132419547</v>
      </c>
      <c r="AN10" s="239">
        <f t="shared" si="9"/>
        <v>12827.057606218907</v>
      </c>
      <c r="AO10" s="239">
        <f t="shared" si="7"/>
        <v>2829.4423937810934</v>
      </c>
      <c r="AP10" s="239">
        <f t="shared" si="7"/>
        <v>547.93460361422171</v>
      </c>
      <c r="AQ10" s="239">
        <f t="shared" si="7"/>
        <v>66.306255376491706</v>
      </c>
      <c r="AR10" s="239"/>
      <c r="AS10" s="237">
        <f t="shared" si="10"/>
        <v>14193.057606218907</v>
      </c>
      <c r="AT10" s="237">
        <f t="shared" si="11"/>
        <v>2906.7631484980748</v>
      </c>
      <c r="AU10" s="237">
        <f t="shared" si="12"/>
        <v>587.81629138482924</v>
      </c>
      <c r="AV10" s="237">
        <f t="shared" si="13"/>
        <v>96.085590779241073</v>
      </c>
      <c r="AW10" s="232">
        <v>7014.9860821403763</v>
      </c>
      <c r="AX10" s="232">
        <v>1377.3346725766053</v>
      </c>
      <c r="AY10" s="232">
        <v>286.30105982880775</v>
      </c>
      <c r="AZ10" s="232">
        <v>59.128090646821526</v>
      </c>
      <c r="BA10" s="233">
        <v>7178.0715240785303</v>
      </c>
      <c r="BB10" s="232">
        <v>1529.4284759214693</v>
      </c>
      <c r="BC10" s="232">
        <v>301.51523155602149</v>
      </c>
      <c r="BD10" s="232">
        <v>36.957500132419547</v>
      </c>
    </row>
    <row r="11" spans="1:56" x14ac:dyDescent="0.5">
      <c r="A11" s="89">
        <v>9401</v>
      </c>
      <c r="B11" s="66">
        <v>2013</v>
      </c>
      <c r="C11" s="67">
        <f t="shared" si="1"/>
        <v>356.0049759614455</v>
      </c>
      <c r="D11" s="67">
        <f t="shared" si="2"/>
        <v>6044.8433806633257</v>
      </c>
      <c r="E11" s="67">
        <f>BonSThd!F52</f>
        <v>120697</v>
      </c>
      <c r="F11" s="67">
        <v>9401</v>
      </c>
      <c r="G11" s="67">
        <f t="shared" si="3"/>
        <v>10585.134432760786</v>
      </c>
      <c r="H11" s="67">
        <f t="shared" si="4"/>
        <v>16985.982789385558</v>
      </c>
      <c r="I11" s="68">
        <f t="shared" si="5"/>
        <v>0.14073243568096605</v>
      </c>
      <c r="J11" s="67">
        <f t="shared" si="0"/>
        <v>9401</v>
      </c>
      <c r="K11" s="69">
        <f t="shared" si="6"/>
        <v>7.7889259882184314E-2</v>
      </c>
      <c r="M11" s="183">
        <v>2011</v>
      </c>
      <c r="N11" s="179">
        <v>921.28693184735869</v>
      </c>
      <c r="O11" s="178">
        <v>235.53269311925885</v>
      </c>
      <c r="P11" s="178">
        <v>291.79943482367264</v>
      </c>
      <c r="Q11" s="178">
        <v>31.449864590095412</v>
      </c>
      <c r="R11" s="179">
        <v>11191.028220084429</v>
      </c>
      <c r="S11" s="180">
        <v>861.97177991557055</v>
      </c>
      <c r="T11" s="180">
        <v>730.84863877403347</v>
      </c>
      <c r="U11" s="181">
        <v>42.051361225966552</v>
      </c>
      <c r="V11" s="230">
        <v>14193.057606218907</v>
      </c>
      <c r="W11" s="230">
        <v>2906.7631484980748</v>
      </c>
      <c r="X11" s="230">
        <v>587.81629138482924</v>
      </c>
      <c r="Y11" s="230">
        <v>96.085590779241073</v>
      </c>
      <c r="Z11" s="179">
        <v>24939.372758150694</v>
      </c>
      <c r="AA11" s="180">
        <v>3926.9468668159229</v>
      </c>
      <c r="AB11" s="180">
        <v>1570.5826772119278</v>
      </c>
      <c r="AC11" s="181">
        <v>139.80748119255367</v>
      </c>
      <c r="AD11" s="181"/>
      <c r="AE11" s="112">
        <v>2012</v>
      </c>
      <c r="AF11" s="234">
        <v>3807.8059284460596</v>
      </c>
      <c r="AG11" s="234">
        <v>2342.1940715539404</v>
      </c>
      <c r="AH11" s="234">
        <v>100.96782952683402</v>
      </c>
      <c r="AI11" s="234">
        <v>32.635264564948514</v>
      </c>
      <c r="AJ11" s="233">
        <v>4441.696040366639</v>
      </c>
      <c r="AK11" s="232">
        <v>1060.3039596333613</v>
      </c>
      <c r="AL11" s="232">
        <v>139.14026886659099</v>
      </c>
      <c r="AM11" s="232">
        <v>23.848982997185679</v>
      </c>
      <c r="AN11" s="238">
        <f t="shared" si="9"/>
        <v>8249.5019688126995</v>
      </c>
      <c r="AO11" s="238">
        <f t="shared" si="7"/>
        <v>3402.4980311873014</v>
      </c>
      <c r="AP11" s="238">
        <f t="shared" si="7"/>
        <v>240.108098393425</v>
      </c>
      <c r="AQ11" s="238">
        <f t="shared" si="7"/>
        <v>56.484247562134193</v>
      </c>
      <c r="AR11" s="238"/>
      <c r="AS11" s="237">
        <f t="shared" si="10"/>
        <v>10215.501968812699</v>
      </c>
      <c r="AT11" s="237">
        <f t="shared" si="11"/>
        <v>3542.4755472472589</v>
      </c>
      <c r="AU11" s="237">
        <f t="shared" si="12"/>
        <v>324.11175243626803</v>
      </c>
      <c r="AV11" s="237">
        <f t="shared" si="13"/>
        <v>111.63018848668389</v>
      </c>
      <c r="AW11" s="232">
        <v>5773.8059284460596</v>
      </c>
      <c r="AX11" s="232">
        <v>2482.1715876138978</v>
      </c>
      <c r="AY11" s="232">
        <v>184.97148356967702</v>
      </c>
      <c r="AZ11" s="232">
        <v>87.781205489498205</v>
      </c>
      <c r="BA11" s="233">
        <v>4441.696040366639</v>
      </c>
      <c r="BB11" s="232">
        <v>1060.3039596333613</v>
      </c>
      <c r="BC11" s="232">
        <v>139.14026886659099</v>
      </c>
      <c r="BD11" s="232">
        <v>23.848982997185679</v>
      </c>
    </row>
    <row r="12" spans="1:56" x14ac:dyDescent="0.5">
      <c r="A12" s="89">
        <v>11143</v>
      </c>
      <c r="B12" s="66">
        <v>2014</v>
      </c>
      <c r="C12" s="67">
        <f t="shared" si="1"/>
        <v>526.86077761358979</v>
      </c>
      <c r="D12" s="67">
        <f t="shared" si="2"/>
        <v>5869.6767123287673</v>
      </c>
      <c r="E12" s="67">
        <f>BonSThd!F53</f>
        <v>152505</v>
      </c>
      <c r="F12" s="67">
        <v>11143</v>
      </c>
      <c r="G12" s="67">
        <f t="shared" si="3"/>
        <v>11378.27496994477</v>
      </c>
      <c r="H12" s="67">
        <f t="shared" si="4"/>
        <v>17774.812459887129</v>
      </c>
      <c r="I12" s="68">
        <f t="shared" si="5"/>
        <v>0.11655232589021428</v>
      </c>
      <c r="J12" s="67">
        <f t="shared" si="0"/>
        <v>11143</v>
      </c>
      <c r="K12" s="69">
        <f t="shared" si="6"/>
        <v>7.3066456837480739E-2</v>
      </c>
      <c r="M12" s="183">
        <v>2012</v>
      </c>
      <c r="N12" s="228">
        <v>417.7496761966824</v>
      </c>
      <c r="O12" s="230">
        <v>65.320412432822138</v>
      </c>
      <c r="P12" s="230">
        <v>141.62896608448114</v>
      </c>
      <c r="Q12" s="230">
        <v>19.530504205062893</v>
      </c>
      <c r="R12" s="228">
        <v>5125.9715150211541</v>
      </c>
      <c r="S12" s="229">
        <v>492.02848497884668</v>
      </c>
      <c r="T12" s="229">
        <v>307.7323612539958</v>
      </c>
      <c r="U12" s="231">
        <v>38.667638746004279</v>
      </c>
      <c r="V12" s="230">
        <v>10215.501968812699</v>
      </c>
      <c r="W12" s="230">
        <v>3542.4755472472589</v>
      </c>
      <c r="X12" s="230">
        <v>324.11175243626803</v>
      </c>
      <c r="Y12" s="230">
        <v>111.63018848668389</v>
      </c>
      <c r="Z12" s="179">
        <v>14054.155528592997</v>
      </c>
      <c r="AA12" s="180">
        <v>3698.9145600365059</v>
      </c>
      <c r="AB12" s="180">
        <v>657.28915278701049</v>
      </c>
      <c r="AC12" s="181">
        <v>146.86266345809281</v>
      </c>
      <c r="AD12" s="181"/>
      <c r="AE12" s="112">
        <v>2013</v>
      </c>
      <c r="AF12" s="232">
        <v>2605.5210973677044</v>
      </c>
      <c r="AG12" s="232">
        <v>646.47890263229522</v>
      </c>
      <c r="AH12" s="232">
        <v>131.80453083642465</v>
      </c>
      <c r="AI12" s="234">
        <v>29.000021327136448</v>
      </c>
      <c r="AJ12" s="233">
        <v>6951.6133353930809</v>
      </c>
      <c r="AK12" s="232">
        <v>546.88666460691888</v>
      </c>
      <c r="AL12" s="232">
        <v>407.86850333218428</v>
      </c>
      <c r="AM12" s="232">
        <v>14.203581004002109</v>
      </c>
      <c r="AN12" s="238">
        <f t="shared" si="9"/>
        <v>9557.1344327607858</v>
      </c>
      <c r="AO12" s="238">
        <f t="shared" si="7"/>
        <v>1193.3655672392142</v>
      </c>
      <c r="AP12" s="238">
        <f t="shared" si="7"/>
        <v>539.67303416860887</v>
      </c>
      <c r="AQ12" s="238">
        <f t="shared" si="7"/>
        <v>43.203602331138555</v>
      </c>
      <c r="AR12" s="238"/>
      <c r="AS12" s="237">
        <f t="shared" si="10"/>
        <v>10585.134432760786</v>
      </c>
      <c r="AT12" s="237">
        <f t="shared" si="11"/>
        <v>1273.802666733312</v>
      </c>
      <c r="AU12" s="237">
        <f t="shared" si="12"/>
        <v>577.82738638479361</v>
      </c>
      <c r="AV12" s="237">
        <f t="shared" si="13"/>
        <v>83.422152078187452</v>
      </c>
      <c r="AW12" s="232">
        <v>3633.5210973677044</v>
      </c>
      <c r="AX12" s="232">
        <v>726.91600212639298</v>
      </c>
      <c r="AY12" s="232">
        <v>169.95888305260937</v>
      </c>
      <c r="AZ12" s="232">
        <v>69.218571074185348</v>
      </c>
      <c r="BA12" s="233">
        <v>6951.6133353930809</v>
      </c>
      <c r="BB12" s="232">
        <v>546.88666460691888</v>
      </c>
      <c r="BC12" s="232">
        <v>407.86850333218428</v>
      </c>
      <c r="BD12" s="232">
        <v>14.203581004002109</v>
      </c>
    </row>
    <row r="13" spans="1:56" x14ac:dyDescent="0.5">
      <c r="A13" s="89">
        <v>8901</v>
      </c>
      <c r="B13" s="66">
        <v>2015</v>
      </c>
      <c r="C13" s="67">
        <f>N15</f>
        <v>417.10872292294607</v>
      </c>
      <c r="D13" s="67">
        <f>R15</f>
        <v>4124.0529780714114</v>
      </c>
      <c r="E13" s="67">
        <f>BonSThd!F54</f>
        <v>152902</v>
      </c>
      <c r="F13" s="67">
        <v>8901</v>
      </c>
      <c r="G13" s="67">
        <f>V15</f>
        <v>16976.035901578616</v>
      </c>
      <c r="H13" s="67">
        <f t="shared" ref="H13:H14" si="14">C13+D13+G13</f>
        <v>21517.197602572975</v>
      </c>
      <c r="I13" s="68">
        <f t="shared" ref="I13:I14" si="15">H13/E13</f>
        <v>0.14072541629653618</v>
      </c>
      <c r="J13" s="67">
        <f t="shared" ref="J13:J14" si="16">F13</f>
        <v>8901</v>
      </c>
      <c r="K13" s="69">
        <f t="shared" ref="K13" si="17">J13/E13</f>
        <v>5.8213757831813845E-2</v>
      </c>
      <c r="M13" s="183">
        <v>2013</v>
      </c>
      <c r="N13" s="228">
        <v>356.0049759614455</v>
      </c>
      <c r="O13" s="230">
        <v>34.445116473445168</v>
      </c>
      <c r="P13" s="230">
        <v>207.58457640962186</v>
      </c>
      <c r="Q13" s="230">
        <v>11.237616395384823</v>
      </c>
      <c r="R13" s="228">
        <v>6044.8433806633257</v>
      </c>
      <c r="S13" s="229">
        <v>94.156619336674765</v>
      </c>
      <c r="T13" s="229">
        <v>644.51910294021036</v>
      </c>
      <c r="U13" s="231">
        <v>2.5808970597895891</v>
      </c>
      <c r="V13" s="230">
        <v>10585.134432760786</v>
      </c>
      <c r="W13" s="230">
        <v>1273.802666733312</v>
      </c>
      <c r="X13" s="230">
        <v>577.82738638479361</v>
      </c>
      <c r="Y13" s="230">
        <v>83.422152078187452</v>
      </c>
      <c r="Z13" s="179">
        <v>15937.886937314157</v>
      </c>
      <c r="AA13" s="180">
        <v>1426.5631551207334</v>
      </c>
      <c r="AB13" s="180">
        <v>1381.3272877294094</v>
      </c>
      <c r="AC13" s="181">
        <v>71.59646370918216</v>
      </c>
      <c r="AD13" s="181"/>
      <c r="AE13" s="112">
        <v>2014</v>
      </c>
      <c r="AF13" s="234">
        <v>2933.0126734836826</v>
      </c>
      <c r="AG13" s="234">
        <v>1147.9873265163174</v>
      </c>
      <c r="AH13" s="234">
        <v>187.6590850873672</v>
      </c>
      <c r="AI13" s="234">
        <v>29.292980385399282</v>
      </c>
      <c r="AJ13" s="233">
        <v>7196.2622964610882</v>
      </c>
      <c r="AK13" s="232">
        <v>1916.2377035389118</v>
      </c>
      <c r="AL13" s="232">
        <v>449.18373169373524</v>
      </c>
      <c r="AM13" s="232">
        <v>46.576859442665693</v>
      </c>
      <c r="AN13" s="238">
        <f t="shared" si="9"/>
        <v>10129.27496994477</v>
      </c>
      <c r="AO13" s="238">
        <f t="shared" si="7"/>
        <v>3064.2250300552291</v>
      </c>
      <c r="AP13" s="238">
        <f t="shared" si="7"/>
        <v>636.84281678110244</v>
      </c>
      <c r="AQ13" s="238">
        <f t="shared" si="7"/>
        <v>75.869839828064983</v>
      </c>
      <c r="AR13" s="238"/>
      <c r="AS13" s="237">
        <f t="shared" si="10"/>
        <v>11378.27496994477</v>
      </c>
      <c r="AT13" s="237">
        <f t="shared" si="11"/>
        <v>3162.1777103993718</v>
      </c>
      <c r="AU13" s="237">
        <f t="shared" si="12"/>
        <v>699.56277118445109</v>
      </c>
      <c r="AV13" s="237">
        <f t="shared" si="13"/>
        <v>109.17620917971209</v>
      </c>
      <c r="AW13" s="232">
        <v>4182.0126734836831</v>
      </c>
      <c r="AX13" s="232">
        <v>1245.9400068604602</v>
      </c>
      <c r="AY13" s="232">
        <v>250.3790394907158</v>
      </c>
      <c r="AZ13" s="232">
        <v>62.599349737046388</v>
      </c>
      <c r="BA13" s="233">
        <v>7196.2622964610882</v>
      </c>
      <c r="BB13" s="232">
        <v>1916.2377035389118</v>
      </c>
      <c r="BC13" s="232">
        <v>449.18373169373524</v>
      </c>
      <c r="BD13" s="232">
        <v>46.576859442665693</v>
      </c>
    </row>
    <row r="14" spans="1:56" x14ac:dyDescent="0.5">
      <c r="A14" s="89">
        <v>6164</v>
      </c>
      <c r="B14" s="66">
        <v>2016</v>
      </c>
      <c r="C14" s="67">
        <f>N16</f>
        <v>457.504304671451</v>
      </c>
      <c r="D14" s="67">
        <f>R16</f>
        <v>1371.1219929587287</v>
      </c>
      <c r="E14" s="67">
        <f>BonSThd!F55</f>
        <v>92225</v>
      </c>
      <c r="F14" s="67">
        <v>6164</v>
      </c>
      <c r="G14" s="67">
        <f>V16</f>
        <v>5528.9015498536555</v>
      </c>
      <c r="H14" s="67">
        <f t="shared" si="14"/>
        <v>7357.5278474838351</v>
      </c>
      <c r="I14" s="68">
        <f t="shared" si="15"/>
        <v>7.9778019490201524E-2</v>
      </c>
      <c r="J14" s="67">
        <f t="shared" si="16"/>
        <v>6164</v>
      </c>
      <c r="K14" s="69">
        <f>J14/E14</f>
        <v>6.6836541068040115E-2</v>
      </c>
      <c r="M14" s="183">
        <v>2014</v>
      </c>
      <c r="N14" s="228">
        <v>526.86077761358979</v>
      </c>
      <c r="O14" s="230">
        <v>119.23524915764213</v>
      </c>
      <c r="P14" s="230">
        <v>334.72546927751705</v>
      </c>
      <c r="Q14" s="230">
        <v>30.569233951251015</v>
      </c>
      <c r="R14" s="228">
        <v>5869.6767123287673</v>
      </c>
      <c r="S14" s="229">
        <v>505.32328767123283</v>
      </c>
      <c r="T14" s="229">
        <v>514.29184760879275</v>
      </c>
      <c r="U14" s="231">
        <v>12.608152391207319</v>
      </c>
      <c r="V14" s="230">
        <v>11378.27496994477</v>
      </c>
      <c r="W14" s="230">
        <v>3162.1777103993718</v>
      </c>
      <c r="X14" s="230">
        <v>699.56277118445109</v>
      </c>
      <c r="Y14" s="230">
        <v>109.17620917971209</v>
      </c>
      <c r="Z14" s="179">
        <v>16656.015051599221</v>
      </c>
      <c r="AA14" s="180">
        <v>4014.0809751720089</v>
      </c>
      <c r="AB14" s="180">
        <v>1423.4525170453232</v>
      </c>
      <c r="AC14" s="181">
        <v>204.45750010821399</v>
      </c>
      <c r="AD14" s="181"/>
      <c r="AE14" s="112">
        <v>2015</v>
      </c>
      <c r="AF14" s="234">
        <v>4928.2365510704867</v>
      </c>
      <c r="AG14" s="234">
        <v>996.76344892951317</v>
      </c>
      <c r="AH14" s="234">
        <v>211.44304709125532</v>
      </c>
      <c r="AI14" s="234">
        <v>34.221607404494662</v>
      </c>
      <c r="AJ14" s="233">
        <v>10903.851438362979</v>
      </c>
      <c r="AK14" s="232">
        <v>660.64856163702166</v>
      </c>
      <c r="AL14" s="232">
        <v>482.92961825557381</v>
      </c>
      <c r="AM14" s="232">
        <v>20.610946436177009</v>
      </c>
      <c r="AN14" s="238">
        <f t="shared" si="9"/>
        <v>15832.087989433465</v>
      </c>
      <c r="AO14" s="238">
        <f t="shared" si="7"/>
        <v>1657.4120105665347</v>
      </c>
      <c r="AP14" s="238">
        <f t="shared" si="7"/>
        <v>694.37266534682908</v>
      </c>
      <c r="AQ14" s="238">
        <f t="shared" si="7"/>
        <v>54.832553840671672</v>
      </c>
      <c r="AR14" s="238"/>
      <c r="AS14" s="237">
        <f t="shared" si="10"/>
        <v>16976.035901578616</v>
      </c>
      <c r="AT14" s="237">
        <f t="shared" si="11"/>
        <v>2137.4640984213834</v>
      </c>
      <c r="AU14" s="237">
        <f t="shared" si="12"/>
        <v>742.03799405492191</v>
      </c>
      <c r="AV14" s="237">
        <f t="shared" si="13"/>
        <v>72.726109507158185</v>
      </c>
      <c r="AW14" s="232">
        <v>6072.1844632156381</v>
      </c>
      <c r="AX14" s="232">
        <v>1476.8155367843617</v>
      </c>
      <c r="AY14" s="232">
        <v>259.1083757993481</v>
      </c>
      <c r="AZ14" s="232">
        <v>52.115163070981168</v>
      </c>
      <c r="BA14" s="233">
        <v>10903.851438362979</v>
      </c>
      <c r="BB14" s="232">
        <v>660.64856163702166</v>
      </c>
      <c r="BC14" s="232">
        <v>482.92961825557381</v>
      </c>
      <c r="BD14" s="232">
        <v>20.610946436177009</v>
      </c>
    </row>
    <row r="15" spans="1:56" x14ac:dyDescent="0.5">
      <c r="B15" s="160"/>
      <c r="C15" s="161"/>
      <c r="D15" s="161"/>
      <c r="E15" s="161"/>
      <c r="F15" s="161"/>
      <c r="G15" s="161"/>
      <c r="H15" s="161"/>
      <c r="I15" s="161"/>
      <c r="J15" s="161"/>
      <c r="K15" s="162"/>
      <c r="M15" s="183">
        <v>2015</v>
      </c>
      <c r="N15" s="228">
        <v>417.10872292294607</v>
      </c>
      <c r="O15" s="230">
        <v>54.942860152590896</v>
      </c>
      <c r="P15" s="230">
        <v>171.75537026662801</v>
      </c>
      <c r="Q15" s="230">
        <v>14.970512524212193</v>
      </c>
      <c r="R15" s="228">
        <v>4124.0529780714114</v>
      </c>
      <c r="S15" s="229">
        <v>87.947021928588327</v>
      </c>
      <c r="T15" s="229">
        <v>257.74064216348177</v>
      </c>
      <c r="U15" s="231">
        <v>2.759357836518245</v>
      </c>
      <c r="V15" s="230">
        <v>16976.035901578616</v>
      </c>
      <c r="W15" s="230">
        <v>2137.4640984213834</v>
      </c>
      <c r="X15" s="230">
        <v>742.03799405492191</v>
      </c>
      <c r="Y15" s="230">
        <v>72.726109507158185</v>
      </c>
      <c r="Z15" s="179">
        <v>16910.293190456447</v>
      </c>
      <c r="AA15" s="180">
        <v>1973.7583926190898</v>
      </c>
      <c r="AB15" s="180">
        <v>944.14238225054328</v>
      </c>
      <c r="AC15" s="181">
        <v>114.61544358292161</v>
      </c>
      <c r="AD15" s="181"/>
      <c r="AE15" s="112">
        <v>2016</v>
      </c>
      <c r="AF15" s="234">
        <v>1821.4958554355758</v>
      </c>
      <c r="AG15" s="234">
        <v>1864.6041445644241</v>
      </c>
      <c r="AH15" s="234">
        <v>37.470396953576696</v>
      </c>
      <c r="AI15" s="234">
        <v>10.378980363736307</v>
      </c>
      <c r="AJ15" s="233">
        <v>3441.8077724419973</v>
      </c>
      <c r="AK15" s="232">
        <v>1862.0922275580024</v>
      </c>
      <c r="AL15" s="232">
        <v>70.217620531199074</v>
      </c>
      <c r="AM15" s="232">
        <v>14.384700734581543</v>
      </c>
      <c r="AN15" s="238">
        <f t="shared" si="9"/>
        <v>5263.3036278775726</v>
      </c>
      <c r="AO15" s="238">
        <f t="shared" si="7"/>
        <v>3726.6963721224265</v>
      </c>
      <c r="AP15" s="238">
        <f t="shared" si="7"/>
        <v>107.68801748477577</v>
      </c>
      <c r="AQ15" s="238">
        <f t="shared" si="7"/>
        <v>24.76368109831785</v>
      </c>
      <c r="AR15" s="238"/>
      <c r="AS15" s="237">
        <f t="shared" si="10"/>
        <v>5528.9015498536555</v>
      </c>
      <c r="AT15" s="237">
        <f t="shared" si="11"/>
        <v>4353.5984501463427</v>
      </c>
      <c r="AU15" s="237">
        <f t="shared" si="12"/>
        <v>121.80954062434108</v>
      </c>
      <c r="AV15" s="237">
        <f>AZ15+BD15</f>
        <v>31.323525907918917</v>
      </c>
      <c r="AW15" s="232">
        <v>2087.0937774116587</v>
      </c>
      <c r="AX15" s="232">
        <v>2491.5062225883407</v>
      </c>
      <c r="AY15" s="232">
        <v>51.591920093142015</v>
      </c>
      <c r="AZ15" s="232">
        <v>16.938825173337374</v>
      </c>
      <c r="BA15" s="233">
        <v>3441.8077724419973</v>
      </c>
      <c r="BB15" s="232">
        <v>1862.0922275580024</v>
      </c>
      <c r="BC15" s="232">
        <v>70.217620531199074</v>
      </c>
      <c r="BD15" s="232">
        <v>14.384700734581543</v>
      </c>
    </row>
    <row r="16" spans="1:56" ht="33.75" customHeight="1" x14ac:dyDescent="0.5">
      <c r="B16" s="163"/>
      <c r="C16" s="164" t="s">
        <v>210</v>
      </c>
      <c r="D16" s="164"/>
      <c r="E16" s="164"/>
      <c r="F16" s="164"/>
      <c r="G16" s="164"/>
      <c r="H16" s="164"/>
      <c r="I16" s="164"/>
      <c r="J16" s="164"/>
      <c r="K16" s="165"/>
      <c r="M16" s="183">
        <v>2016</v>
      </c>
      <c r="N16" s="229">
        <v>457.504304671451</v>
      </c>
      <c r="O16" s="230">
        <v>71.551252805775036</v>
      </c>
      <c r="P16" s="230">
        <v>146.85276444829685</v>
      </c>
      <c r="Q16" s="230">
        <v>13.399889426098266</v>
      </c>
      <c r="R16" s="229">
        <v>1371.1219929587287</v>
      </c>
      <c r="S16" s="229">
        <v>490.87800704127147</v>
      </c>
      <c r="T16" s="229">
        <v>83.084849637173846</v>
      </c>
      <c r="U16" s="229">
        <v>3.2071794871794874</v>
      </c>
      <c r="V16" s="230">
        <v>5528.9015498536555</v>
      </c>
      <c r="W16" s="230">
        <v>4353.5984501463427</v>
      </c>
      <c r="X16" s="230">
        <v>121.80954062434108</v>
      </c>
      <c r="Y16" s="230">
        <v>31.323525907918917</v>
      </c>
      <c r="Z16" s="180"/>
      <c r="AA16" s="180"/>
      <c r="AB16" s="180"/>
      <c r="AC16" s="181"/>
      <c r="AD16" s="180"/>
    </row>
    <row r="17" spans="1:58" ht="12.75" customHeight="1" x14ac:dyDescent="0.5">
      <c r="B17" s="157" t="s">
        <v>55</v>
      </c>
      <c r="C17" s="158" t="s">
        <v>192</v>
      </c>
      <c r="D17" s="158" t="s">
        <v>193</v>
      </c>
      <c r="E17" s="158" t="s">
        <v>194</v>
      </c>
      <c r="F17" s="158" t="s">
        <v>211</v>
      </c>
      <c r="G17" s="158" t="s">
        <v>195</v>
      </c>
      <c r="H17" s="158" t="s">
        <v>91</v>
      </c>
      <c r="I17" s="158" t="s">
        <v>196</v>
      </c>
      <c r="J17" s="158" t="s">
        <v>92</v>
      </c>
      <c r="K17" s="159" t="s">
        <v>197</v>
      </c>
      <c r="M17" s="715" t="s">
        <v>212</v>
      </c>
      <c r="N17" s="716"/>
      <c r="O17" s="716"/>
      <c r="P17" s="716"/>
      <c r="Q17" s="716"/>
      <c r="R17" s="716"/>
      <c r="S17" s="716"/>
      <c r="T17" s="716"/>
      <c r="U17" s="716"/>
      <c r="V17" s="716"/>
      <c r="W17" s="716"/>
      <c r="X17" s="716"/>
      <c r="Y17" s="716"/>
      <c r="Z17" s="717"/>
      <c r="AA17" s="717"/>
      <c r="AB17" s="717"/>
      <c r="AC17" s="718"/>
      <c r="AD17" s="236"/>
    </row>
    <row r="18" spans="1:58" ht="12.75" customHeight="1" x14ac:dyDescent="0.5">
      <c r="A18" s="89">
        <v>3645</v>
      </c>
      <c r="B18" s="66">
        <v>2008</v>
      </c>
      <c r="C18" s="67">
        <f t="shared" ref="C18:C26" si="18">P8</f>
        <v>140.80020300135973</v>
      </c>
      <c r="D18" s="67">
        <f t="shared" ref="D18:D26" si="19">T8</f>
        <v>99.332040348700417</v>
      </c>
      <c r="E18" s="67">
        <f>BonSThd!G47+BonSThd!H47</f>
        <v>80089</v>
      </c>
      <c r="F18" s="67">
        <v>3645</v>
      </c>
      <c r="G18" s="67">
        <f t="shared" ref="G18:G26" si="20">X8</f>
        <v>278.38774892700258</v>
      </c>
      <c r="H18" s="67">
        <f>C18+D18+G18</f>
        <v>518.51999227706278</v>
      </c>
      <c r="I18" s="68">
        <f t="shared" ref="I18:I24" si="21">H18/E18</f>
        <v>6.474297247775135E-3</v>
      </c>
      <c r="J18" s="67">
        <f t="shared" ref="J18:J24" si="22">F18</f>
        <v>3645</v>
      </c>
      <c r="K18" s="69">
        <f t="shared" ref="K18:K24" si="23">J18/E18</f>
        <v>4.5511868046797938E-2</v>
      </c>
      <c r="M18" s="719" t="s">
        <v>213</v>
      </c>
      <c r="N18" s="720"/>
      <c r="O18" s="720"/>
      <c r="P18" s="720"/>
      <c r="Q18" s="720"/>
      <c r="R18" s="720"/>
      <c r="S18" s="720"/>
      <c r="T18" s="720"/>
      <c r="U18" s="720"/>
      <c r="V18" s="720"/>
      <c r="W18" s="720"/>
      <c r="X18" s="720"/>
      <c r="Y18" s="720"/>
      <c r="Z18" s="720"/>
      <c r="AA18" s="720"/>
      <c r="AB18" s="720"/>
      <c r="AC18" s="721"/>
      <c r="AD18" s="509"/>
    </row>
    <row r="19" spans="1:58" x14ac:dyDescent="0.5">
      <c r="A19" s="89">
        <v>7948</v>
      </c>
      <c r="B19" s="66">
        <v>2009</v>
      </c>
      <c r="C19" s="67">
        <f t="shared" si="18"/>
        <v>239.34612743059159</v>
      </c>
      <c r="D19" s="67">
        <f t="shared" si="19"/>
        <v>411.76228187233363</v>
      </c>
      <c r="E19" s="67">
        <f>BonSThd!G48+BonSThd!H48</f>
        <v>153068</v>
      </c>
      <c r="F19" s="67">
        <v>7948</v>
      </c>
      <c r="G19" s="67">
        <f t="shared" si="20"/>
        <v>885.7212309555689</v>
      </c>
      <c r="H19" s="67">
        <f t="shared" ref="H19:H24" si="24">C19+D19+G19</f>
        <v>1536.8296402584942</v>
      </c>
      <c r="I19" s="68">
        <f t="shared" si="21"/>
        <v>1.0040175871236928E-2</v>
      </c>
      <c r="J19" s="67">
        <f t="shared" si="22"/>
        <v>7948</v>
      </c>
      <c r="K19" s="69">
        <f t="shared" si="23"/>
        <v>5.1924634802832728E-2</v>
      </c>
      <c r="M19" s="700" t="s">
        <v>214</v>
      </c>
      <c r="N19" s="701"/>
      <c r="O19" s="701"/>
      <c r="P19" s="701"/>
      <c r="Q19" s="701"/>
      <c r="R19" s="701"/>
      <c r="S19" s="701"/>
      <c r="T19" s="701"/>
      <c r="U19" s="701"/>
      <c r="V19" s="701"/>
      <c r="W19" s="701"/>
      <c r="X19" s="701"/>
      <c r="Y19" s="701"/>
      <c r="Z19" s="701"/>
      <c r="AA19" s="701"/>
      <c r="AB19" s="701"/>
      <c r="AC19" s="702"/>
      <c r="AD19" s="509"/>
    </row>
    <row r="20" spans="1:58" x14ac:dyDescent="0.5">
      <c r="A20" s="89">
        <v>4816</v>
      </c>
      <c r="B20" s="66">
        <v>2010</v>
      </c>
      <c r="C20" s="67">
        <f t="shared" si="18"/>
        <v>209.67110813167426</v>
      </c>
      <c r="D20" s="67">
        <f t="shared" si="19"/>
        <v>275.85440285930315</v>
      </c>
      <c r="E20" s="67">
        <f>BonSThd!G49+BonSThd!H49</f>
        <v>120328</v>
      </c>
      <c r="F20" s="67">
        <v>4816</v>
      </c>
      <c r="G20" s="67">
        <f t="shared" si="20"/>
        <v>449.16614215340701</v>
      </c>
      <c r="H20" s="67">
        <f t="shared" si="24"/>
        <v>934.69165314438442</v>
      </c>
      <c r="I20" s="68">
        <f t="shared" si="21"/>
        <v>7.7678649453525733E-3</v>
      </c>
      <c r="J20" s="67">
        <f t="shared" si="22"/>
        <v>4816</v>
      </c>
      <c r="K20" s="69">
        <f t="shared" si="23"/>
        <v>4.00239345788179E-2</v>
      </c>
    </row>
    <row r="21" spans="1:58" x14ac:dyDescent="0.5">
      <c r="A21" s="89">
        <v>6876</v>
      </c>
      <c r="B21" s="66">
        <v>2011</v>
      </c>
      <c r="C21" s="67">
        <f t="shared" si="18"/>
        <v>291.79943482367264</v>
      </c>
      <c r="D21" s="67">
        <f t="shared" si="19"/>
        <v>730.84863877403347</v>
      </c>
      <c r="E21" s="67">
        <f>BonSThd!G50+BonSThd!H50</f>
        <v>116755</v>
      </c>
      <c r="F21" s="67">
        <v>6876</v>
      </c>
      <c r="G21" s="67">
        <f t="shared" si="20"/>
        <v>587.81629138482924</v>
      </c>
      <c r="H21" s="67">
        <f t="shared" si="24"/>
        <v>1610.4643649825352</v>
      </c>
      <c r="I21" s="68">
        <f t="shared" si="21"/>
        <v>1.3793536593572311E-2</v>
      </c>
      <c r="J21" s="67">
        <f t="shared" si="22"/>
        <v>6876</v>
      </c>
      <c r="K21" s="69">
        <f t="shared" si="23"/>
        <v>5.8892552781465463E-2</v>
      </c>
    </row>
    <row r="22" spans="1:58" ht="15.9" thickBot="1" x14ac:dyDescent="0.65">
      <c r="A22" s="89">
        <v>4225</v>
      </c>
      <c r="B22" s="66">
        <v>2012</v>
      </c>
      <c r="C22" s="67">
        <f t="shared" si="18"/>
        <v>141.62896608448114</v>
      </c>
      <c r="D22" s="67">
        <f t="shared" si="19"/>
        <v>307.7323612539958</v>
      </c>
      <c r="E22" s="67">
        <f>BonSThd!G51+BonSThd!H51</f>
        <v>70412</v>
      </c>
      <c r="F22" s="67">
        <v>4225</v>
      </c>
      <c r="G22" s="67">
        <f>X12</f>
        <v>324.11175243626803</v>
      </c>
      <c r="H22" s="67">
        <f t="shared" si="24"/>
        <v>773.47307977474497</v>
      </c>
      <c r="I22" s="68">
        <f t="shared" si="21"/>
        <v>1.0984961082979392E-2</v>
      </c>
      <c r="J22" s="67">
        <f t="shared" si="22"/>
        <v>4225</v>
      </c>
      <c r="K22" s="69">
        <f t="shared" si="23"/>
        <v>6.0003976594898596E-2</v>
      </c>
      <c r="M22" s="722" t="s">
        <v>215</v>
      </c>
      <c r="N22" s="723"/>
      <c r="O22" s="723"/>
      <c r="P22" s="723"/>
      <c r="Q22" s="723"/>
      <c r="R22" s="723"/>
      <c r="S22" s="723"/>
      <c r="T22" s="723"/>
      <c r="U22" s="723"/>
      <c r="V22" s="723"/>
      <c r="W22" s="723"/>
      <c r="X22" s="723"/>
      <c r="Y22" s="723"/>
      <c r="Z22" s="723"/>
      <c r="AA22" s="723"/>
      <c r="AB22" s="723"/>
      <c r="AC22" s="723"/>
      <c r="AD22" s="723"/>
      <c r="AE22" s="723"/>
      <c r="AF22" s="723"/>
      <c r="AG22" s="724"/>
      <c r="AJ22" s="268" t="s">
        <v>216</v>
      </c>
      <c r="AK22" s="269"/>
      <c r="AL22" s="270"/>
      <c r="AM22" s="270"/>
      <c r="AN22" s="270"/>
      <c r="AO22" s="270"/>
      <c r="AP22" s="270"/>
      <c r="AQ22" s="270"/>
      <c r="AR22" s="270"/>
      <c r="AS22" s="270"/>
      <c r="AT22" s="270"/>
      <c r="AU22" s="271"/>
      <c r="AV22" s="271"/>
      <c r="AW22" s="271"/>
      <c r="AX22" s="271"/>
      <c r="AY22" s="271"/>
    </row>
    <row r="23" spans="1:58" x14ac:dyDescent="0.5">
      <c r="A23" s="89">
        <v>6149</v>
      </c>
      <c r="B23" s="66">
        <v>2013</v>
      </c>
      <c r="C23" s="67">
        <f t="shared" si="18"/>
        <v>207.58457640962186</v>
      </c>
      <c r="D23" s="67">
        <f t="shared" si="19"/>
        <v>644.51910294021036</v>
      </c>
      <c r="E23" s="67">
        <f>BonSThd!G52+BonSThd!H52</f>
        <v>93281</v>
      </c>
      <c r="F23" s="67">
        <v>6149</v>
      </c>
      <c r="G23" s="67">
        <f t="shared" si="20"/>
        <v>577.82738638479361</v>
      </c>
      <c r="H23" s="67">
        <f t="shared" si="24"/>
        <v>1429.9310657346259</v>
      </c>
      <c r="I23" s="68">
        <f t="shared" si="21"/>
        <v>1.5329285339293381E-2</v>
      </c>
      <c r="J23" s="67">
        <f t="shared" si="22"/>
        <v>6149</v>
      </c>
      <c r="K23" s="69">
        <f t="shared" si="23"/>
        <v>6.5919104640816462E-2</v>
      </c>
      <c r="M23" s="173"/>
      <c r="N23" s="703" t="s">
        <v>198</v>
      </c>
      <c r="O23" s="704"/>
      <c r="P23" s="704"/>
      <c r="Q23" s="705"/>
      <c r="R23" s="703" t="s">
        <v>199</v>
      </c>
      <c r="S23" s="704"/>
      <c r="T23" s="704"/>
      <c r="U23" s="705"/>
      <c r="V23" s="703" t="s">
        <v>189</v>
      </c>
      <c r="W23" s="704"/>
      <c r="X23" s="704"/>
      <c r="Y23" s="705"/>
      <c r="Z23" s="713" t="s">
        <v>190</v>
      </c>
      <c r="AA23" s="714"/>
      <c r="AB23" s="714"/>
      <c r="AC23" s="705"/>
      <c r="AD23" s="725" t="s">
        <v>201</v>
      </c>
      <c r="AE23" s="726"/>
      <c r="AF23" s="726"/>
      <c r="AG23" s="727"/>
      <c r="AJ23" s="709"/>
      <c r="AK23" s="711"/>
      <c r="AL23" s="711"/>
      <c r="AM23" s="711"/>
      <c r="AN23" s="711"/>
      <c r="AO23" s="711"/>
      <c r="AP23" s="711"/>
      <c r="AQ23" s="711"/>
      <c r="AR23" s="711"/>
      <c r="AS23" s="711"/>
      <c r="AT23" s="711"/>
      <c r="AU23" s="711"/>
      <c r="AV23" s="711"/>
      <c r="AW23" s="516"/>
      <c r="AX23" s="516"/>
      <c r="AY23" s="518"/>
    </row>
    <row r="24" spans="1:58" x14ac:dyDescent="0.5">
      <c r="A24" s="89">
        <v>8453</v>
      </c>
      <c r="B24" s="66">
        <v>2014</v>
      </c>
      <c r="C24" s="67">
        <f t="shared" si="18"/>
        <v>334.72546927751705</v>
      </c>
      <c r="D24" s="67">
        <f t="shared" si="19"/>
        <v>514.29184760879275</v>
      </c>
      <c r="E24" s="67">
        <f>BonSThd!G53+BonSThd!H53</f>
        <v>110951</v>
      </c>
      <c r="F24" s="67">
        <v>8453</v>
      </c>
      <c r="G24" s="67">
        <f t="shared" si="20"/>
        <v>699.56277118445109</v>
      </c>
      <c r="H24" s="67">
        <f t="shared" si="24"/>
        <v>1548.5800880707609</v>
      </c>
      <c r="I24" s="68">
        <f t="shared" si="21"/>
        <v>1.3957333309936466E-2</v>
      </c>
      <c r="J24" s="67">
        <f t="shared" si="22"/>
        <v>8453</v>
      </c>
      <c r="K24" s="69">
        <f t="shared" si="23"/>
        <v>7.6186785157411827E-2</v>
      </c>
      <c r="M24" s="112" t="s">
        <v>55</v>
      </c>
      <c r="N24" s="706" t="s">
        <v>217</v>
      </c>
      <c r="O24" s="707"/>
      <c r="P24" s="707" t="s">
        <v>203</v>
      </c>
      <c r="Q24" s="708"/>
      <c r="R24" s="706" t="s">
        <v>202</v>
      </c>
      <c r="S24" s="707"/>
      <c r="T24" s="707" t="s">
        <v>203</v>
      </c>
      <c r="U24" s="708"/>
      <c r="V24" s="706" t="s">
        <v>202</v>
      </c>
      <c r="W24" s="707"/>
      <c r="X24" s="707" t="s">
        <v>203</v>
      </c>
      <c r="Y24" s="708"/>
      <c r="Z24" s="706" t="s">
        <v>202</v>
      </c>
      <c r="AA24" s="707"/>
      <c r="AB24" s="707" t="s">
        <v>203</v>
      </c>
      <c r="AC24" s="708"/>
      <c r="AD24" s="703" t="s">
        <v>218</v>
      </c>
      <c r="AE24" s="712"/>
      <c r="AF24" s="704" t="s">
        <v>219</v>
      </c>
      <c r="AG24" s="712"/>
      <c r="AJ24" s="710"/>
      <c r="AK24" s="697" t="s">
        <v>220</v>
      </c>
      <c r="AL24" s="697"/>
      <c r="AM24" s="697"/>
      <c r="AN24" s="697" t="s">
        <v>221</v>
      </c>
      <c r="AO24" s="697"/>
      <c r="AP24" s="697"/>
      <c r="AQ24" s="697" t="s">
        <v>222</v>
      </c>
      <c r="AR24" s="697"/>
      <c r="AS24" s="697"/>
      <c r="AT24" s="697" t="s">
        <v>223</v>
      </c>
      <c r="AU24" s="697"/>
      <c r="AV24" s="697"/>
      <c r="AW24" s="698" t="s">
        <v>224</v>
      </c>
      <c r="AX24" s="698"/>
      <c r="AY24" s="699"/>
      <c r="BB24" s="89" t="s">
        <v>225</v>
      </c>
      <c r="BE24" s="89" t="s">
        <v>226</v>
      </c>
    </row>
    <row r="25" spans="1:58" ht="13.2" thickBot="1" x14ac:dyDescent="0.55000000000000004">
      <c r="A25" s="89">
        <v>5384</v>
      </c>
      <c r="B25" s="66">
        <v>2015</v>
      </c>
      <c r="C25" s="67">
        <f t="shared" si="18"/>
        <v>171.75537026662801</v>
      </c>
      <c r="D25" s="67">
        <f t="shared" si="19"/>
        <v>257.74064216348177</v>
      </c>
      <c r="E25" s="67">
        <f>BonSThd!G54+BonSThd!H54</f>
        <v>85158</v>
      </c>
      <c r="F25" s="67">
        <v>5384</v>
      </c>
      <c r="G25" s="67">
        <f t="shared" si="20"/>
        <v>742.03799405492191</v>
      </c>
      <c r="H25" s="67">
        <f t="shared" ref="H25" si="25">C25+D25+G25</f>
        <v>1171.5340064850316</v>
      </c>
      <c r="I25" s="68">
        <f t="shared" ref="I25" si="26">H25/E25</f>
        <v>1.3757180846016012E-2</v>
      </c>
      <c r="J25" s="67">
        <f t="shared" ref="J25:J26" si="27">F25</f>
        <v>5384</v>
      </c>
      <c r="K25" s="69">
        <f t="shared" ref="K25:K26" si="28">J25/E25</f>
        <v>6.3223654853331451E-2</v>
      </c>
      <c r="M25" s="174"/>
      <c r="N25" s="513" t="s">
        <v>206</v>
      </c>
      <c r="O25" s="514" t="s">
        <v>207</v>
      </c>
      <c r="P25" s="514" t="s">
        <v>206</v>
      </c>
      <c r="Q25" s="515" t="s">
        <v>207</v>
      </c>
      <c r="R25" s="513" t="s">
        <v>206</v>
      </c>
      <c r="S25" s="514" t="s">
        <v>207</v>
      </c>
      <c r="T25" s="514" t="s">
        <v>206</v>
      </c>
      <c r="U25" s="515" t="s">
        <v>207</v>
      </c>
      <c r="V25" s="175" t="s">
        <v>206</v>
      </c>
      <c r="W25" s="176" t="s">
        <v>207</v>
      </c>
      <c r="X25" s="176" t="s">
        <v>206</v>
      </c>
      <c r="Y25" s="177" t="s">
        <v>207</v>
      </c>
      <c r="Z25" s="175" t="s">
        <v>206</v>
      </c>
      <c r="AA25" s="176" t="s">
        <v>207</v>
      </c>
      <c r="AB25" s="176" t="s">
        <v>206</v>
      </c>
      <c r="AC25" s="177" t="s">
        <v>207</v>
      </c>
      <c r="AD25" s="175" t="s">
        <v>206</v>
      </c>
      <c r="AE25" s="177" t="s">
        <v>207</v>
      </c>
      <c r="AF25" s="514" t="s">
        <v>206</v>
      </c>
      <c r="AG25" s="515" t="s">
        <v>207</v>
      </c>
      <c r="AJ25" s="272" t="s">
        <v>55</v>
      </c>
      <c r="AK25" s="273" t="s">
        <v>219</v>
      </c>
      <c r="AL25" s="273" t="s">
        <v>227</v>
      </c>
      <c r="AM25" s="273" t="s">
        <v>71</v>
      </c>
      <c r="AN25" s="273" t="s">
        <v>228</v>
      </c>
      <c r="AO25" s="273" t="s">
        <v>227</v>
      </c>
      <c r="AP25" s="273" t="s">
        <v>71</v>
      </c>
      <c r="AQ25" s="273" t="s">
        <v>228</v>
      </c>
      <c r="AR25" s="273" t="s">
        <v>227</v>
      </c>
      <c r="AS25" s="273" t="s">
        <v>71</v>
      </c>
      <c r="AT25" s="273" t="s">
        <v>228</v>
      </c>
      <c r="AU25" s="273" t="s">
        <v>227</v>
      </c>
      <c r="AV25" s="273" t="s">
        <v>71</v>
      </c>
      <c r="AW25" s="273" t="s">
        <v>219</v>
      </c>
      <c r="AX25" s="273" t="s">
        <v>227</v>
      </c>
      <c r="AY25" s="274" t="s">
        <v>71</v>
      </c>
      <c r="BB25" s="273" t="s">
        <v>219</v>
      </c>
      <c r="BC25" s="273" t="s">
        <v>227</v>
      </c>
      <c r="BE25" s="273" t="s">
        <v>219</v>
      </c>
      <c r="BF25" s="273" t="s">
        <v>227</v>
      </c>
    </row>
    <row r="26" spans="1:58" ht="15.6" x14ac:dyDescent="0.6">
      <c r="A26" s="89">
        <v>3141</v>
      </c>
      <c r="B26" s="66">
        <v>2016</v>
      </c>
      <c r="C26" s="67">
        <f t="shared" si="18"/>
        <v>146.85276444829685</v>
      </c>
      <c r="D26" s="67">
        <f t="shared" si="19"/>
        <v>83.084849637173846</v>
      </c>
      <c r="E26" s="67">
        <f>BonSThd!G55+BonSThd!H55</f>
        <v>36665</v>
      </c>
      <c r="F26" s="67">
        <v>3141</v>
      </c>
      <c r="G26" s="67">
        <f t="shared" si="20"/>
        <v>121.80954062434108</v>
      </c>
      <c r="H26" s="67">
        <f>C26+D26+G26</f>
        <v>351.74715470981175</v>
      </c>
      <c r="I26" s="68">
        <f>H26/E26</f>
        <v>9.5935402893716562E-3</v>
      </c>
      <c r="J26" s="67">
        <f t="shared" si="27"/>
        <v>3141</v>
      </c>
      <c r="K26" s="69">
        <f t="shared" si="28"/>
        <v>8.5667530342288287E-2</v>
      </c>
      <c r="M26" s="511">
        <v>1999</v>
      </c>
      <c r="N26" s="240">
        <v>125.04494750798401</v>
      </c>
      <c r="O26" s="241">
        <v>52.401460405756666</v>
      </c>
      <c r="P26" s="241">
        <v>35.388311320319332</v>
      </c>
      <c r="Q26" s="242">
        <v>9.1920034214956026</v>
      </c>
      <c r="R26" s="240">
        <v>3577.0918417403427</v>
      </c>
      <c r="S26" s="241">
        <v>468.90815825965717</v>
      </c>
      <c r="T26" s="241">
        <v>123.23298810139011</v>
      </c>
      <c r="U26" s="242">
        <v>4.9670118986099085</v>
      </c>
      <c r="V26" s="232">
        <v>4522.2073396880241</v>
      </c>
      <c r="W26" s="232">
        <v>929.0510474087497</v>
      </c>
      <c r="X26" s="232">
        <v>112.55135151799021</v>
      </c>
      <c r="Y26" s="232">
        <v>23.029195647243153</v>
      </c>
      <c r="Z26" s="243">
        <v>2712.3229667257656</v>
      </c>
      <c r="AA26" s="232">
        <v>681.17703327423419</v>
      </c>
      <c r="AB26" s="232">
        <v>96.197218574612478</v>
      </c>
      <c r="AC26" s="232">
        <v>12.168553380756521</v>
      </c>
      <c r="AD26" s="243">
        <v>10936.667095662116</v>
      </c>
      <c r="AE26" s="232">
        <v>2131.5376993483978</v>
      </c>
      <c r="AF26" s="243">
        <v>367.36986951431214</v>
      </c>
      <c r="AG26" s="244">
        <v>49.356764348105187</v>
      </c>
      <c r="AJ26" s="275">
        <v>1985</v>
      </c>
      <c r="AK26" s="276">
        <v>10765</v>
      </c>
      <c r="AL26" s="276">
        <v>42400</v>
      </c>
      <c r="AM26" s="276">
        <v>53165</v>
      </c>
      <c r="AN26" s="276">
        <v>4030</v>
      </c>
      <c r="AO26" s="276">
        <v>15363</v>
      </c>
      <c r="AP26" s="276">
        <v>19393</v>
      </c>
      <c r="AQ26" s="271"/>
      <c r="AR26" s="271"/>
      <c r="AS26" s="271"/>
      <c r="AT26" s="276">
        <v>4030</v>
      </c>
      <c r="AU26" s="276">
        <v>15363</v>
      </c>
      <c r="AV26" s="276">
        <v>19393</v>
      </c>
      <c r="AW26" s="276">
        <v>14795</v>
      </c>
      <c r="AX26" s="276">
        <v>57763</v>
      </c>
      <c r="AY26" s="277">
        <v>72558</v>
      </c>
      <c r="BA26" s="275">
        <v>2008</v>
      </c>
      <c r="BB26" s="276">
        <v>3645</v>
      </c>
      <c r="BC26" s="276">
        <v>8503</v>
      </c>
      <c r="BD26" s="275">
        <v>2008</v>
      </c>
      <c r="BE26" s="276">
        <v>2673</v>
      </c>
      <c r="BF26" s="276">
        <v>11518</v>
      </c>
    </row>
    <row r="27" spans="1:58" ht="15.6" x14ac:dyDescent="0.6">
      <c r="B27" s="160"/>
      <c r="C27" s="161"/>
      <c r="D27" s="161"/>
      <c r="E27" s="161"/>
      <c r="F27" s="161"/>
      <c r="G27" s="161"/>
      <c r="H27" s="161"/>
      <c r="I27" s="161"/>
      <c r="J27" s="161"/>
      <c r="K27" s="162"/>
      <c r="M27" s="512">
        <v>2000</v>
      </c>
      <c r="N27" s="245">
        <v>217.15153983676788</v>
      </c>
      <c r="O27" s="246">
        <v>56.306074787137149</v>
      </c>
      <c r="P27" s="246">
        <v>67.121174371022875</v>
      </c>
      <c r="Q27" s="247">
        <v>14.129836116183265</v>
      </c>
      <c r="R27" s="245">
        <v>4400.9723724735295</v>
      </c>
      <c r="S27" s="246">
        <v>649.02762752647072</v>
      </c>
      <c r="T27" s="246">
        <v>165.19324004262432</v>
      </c>
      <c r="U27" s="247">
        <v>30.506759957375671</v>
      </c>
      <c r="V27" s="232">
        <v>5167.2994282586315</v>
      </c>
      <c r="W27" s="232">
        <v>1925.1629994870329</v>
      </c>
      <c r="X27" s="232">
        <v>149.91022518976965</v>
      </c>
      <c r="Y27" s="232">
        <v>27.679824306524591</v>
      </c>
      <c r="Z27" s="233">
        <v>8701.0343788919636</v>
      </c>
      <c r="AA27" s="232">
        <v>1896.4656211080351</v>
      </c>
      <c r="AB27" s="232">
        <v>273.56640195686657</v>
      </c>
      <c r="AC27" s="232">
        <v>54.480247700930754</v>
      </c>
      <c r="AD27" s="233">
        <v>18486.457719460894</v>
      </c>
      <c r="AE27" s="232">
        <v>4526.9623229086756</v>
      </c>
      <c r="AF27" s="233">
        <v>655.79104156028347</v>
      </c>
      <c r="AG27" s="248">
        <v>126.79666808101427</v>
      </c>
      <c r="AJ27" s="275">
        <v>1986</v>
      </c>
      <c r="AK27" s="276">
        <v>7833</v>
      </c>
      <c r="AL27" s="276">
        <v>35931</v>
      </c>
      <c r="AM27" s="276">
        <v>43764</v>
      </c>
      <c r="AN27" s="276">
        <v>2670</v>
      </c>
      <c r="AO27" s="276">
        <v>16033</v>
      </c>
      <c r="AP27" s="276">
        <v>18703</v>
      </c>
      <c r="AQ27" s="271"/>
      <c r="AR27" s="271"/>
      <c r="AS27" s="271"/>
      <c r="AT27" s="276">
        <v>2670</v>
      </c>
      <c r="AU27" s="276">
        <v>16033</v>
      </c>
      <c r="AV27" s="276">
        <v>18703</v>
      </c>
      <c r="AW27" s="276">
        <v>10503</v>
      </c>
      <c r="AX27" s="276">
        <v>51964</v>
      </c>
      <c r="AY27" s="277">
        <v>62467</v>
      </c>
      <c r="BA27" s="275">
        <v>2009</v>
      </c>
      <c r="BB27" s="276">
        <v>7948</v>
      </c>
      <c r="BC27" s="276">
        <v>21340</v>
      </c>
      <c r="BD27" s="275">
        <v>2009</v>
      </c>
      <c r="BE27" s="276">
        <v>2112</v>
      </c>
      <c r="BF27" s="276">
        <v>5354</v>
      </c>
    </row>
    <row r="28" spans="1:58" ht="15.6" x14ac:dyDescent="0.6">
      <c r="B28" s="163"/>
      <c r="C28" s="164" t="s">
        <v>229</v>
      </c>
      <c r="D28" s="164"/>
      <c r="E28" s="164"/>
      <c r="F28" s="164"/>
      <c r="G28" s="164"/>
      <c r="H28" s="164"/>
      <c r="I28" s="164"/>
      <c r="J28" s="164"/>
      <c r="K28" s="165"/>
      <c r="M28" s="512">
        <v>2001</v>
      </c>
      <c r="N28" s="245">
        <v>394.44466280521391</v>
      </c>
      <c r="O28" s="246">
        <v>213.69712783390912</v>
      </c>
      <c r="P28" s="246">
        <v>87.080696517390479</v>
      </c>
      <c r="Q28" s="247">
        <v>23.553762465708761</v>
      </c>
      <c r="R28" s="245">
        <v>4418.7989541316592</v>
      </c>
      <c r="S28" s="246">
        <v>615.20104586834066</v>
      </c>
      <c r="T28" s="246">
        <v>191.8428071173561</v>
      </c>
      <c r="U28" s="247">
        <v>22.257192882643935</v>
      </c>
      <c r="V28" s="232">
        <v>11462.197386977705</v>
      </c>
      <c r="W28" s="232">
        <v>2529.366714161501</v>
      </c>
      <c r="X28" s="232">
        <v>192.87938070775314</v>
      </c>
      <c r="Y28" s="232">
        <v>34.630348289739288</v>
      </c>
      <c r="Z28" s="233">
        <v>16005.609729850341</v>
      </c>
      <c r="AA28" s="232">
        <v>3965.8902701496577</v>
      </c>
      <c r="AB28" s="232">
        <v>384.83482617407469</v>
      </c>
      <c r="AC28" s="232">
        <v>59.006809200112841</v>
      </c>
      <c r="AD28" s="233">
        <v>32281.050733764918</v>
      </c>
      <c r="AE28" s="232">
        <v>7324.1551580134092</v>
      </c>
      <c r="AF28" s="233">
        <v>856.63771051657443</v>
      </c>
      <c r="AG28" s="248">
        <v>139.44811283820482</v>
      </c>
      <c r="AJ28" s="275">
        <v>1987</v>
      </c>
      <c r="AK28" s="276">
        <v>16795</v>
      </c>
      <c r="AL28" s="276">
        <v>31070</v>
      </c>
      <c r="AM28" s="276">
        <v>47865</v>
      </c>
      <c r="AN28" s="276">
        <v>5211</v>
      </c>
      <c r="AO28" s="276">
        <v>13187</v>
      </c>
      <c r="AP28" s="276">
        <v>18398</v>
      </c>
      <c r="AQ28" s="271"/>
      <c r="AR28" s="271"/>
      <c r="AS28" s="271"/>
      <c r="AT28" s="276">
        <v>5211</v>
      </c>
      <c r="AU28" s="276">
        <v>13187</v>
      </c>
      <c r="AV28" s="276">
        <v>18398</v>
      </c>
      <c r="AW28" s="276">
        <v>22006</v>
      </c>
      <c r="AX28" s="276">
        <v>44257</v>
      </c>
      <c r="AY28" s="277">
        <v>66263</v>
      </c>
      <c r="BA28" s="275">
        <v>2010</v>
      </c>
      <c r="BB28" s="276">
        <v>4816</v>
      </c>
      <c r="BC28" s="276">
        <v>9835</v>
      </c>
      <c r="BD28" s="275">
        <v>2010</v>
      </c>
      <c r="BE28" s="276">
        <v>2992</v>
      </c>
      <c r="BF28" s="276">
        <v>9809</v>
      </c>
    </row>
    <row r="29" spans="1:58" ht="22.2" x14ac:dyDescent="0.6">
      <c r="B29" s="157" t="s">
        <v>55</v>
      </c>
      <c r="C29" s="158" t="s">
        <v>192</v>
      </c>
      <c r="D29" s="158" t="s">
        <v>193</v>
      </c>
      <c r="E29" s="158" t="s">
        <v>194</v>
      </c>
      <c r="F29" s="158" t="s">
        <v>75</v>
      </c>
      <c r="G29" s="158" t="s">
        <v>195</v>
      </c>
      <c r="H29" s="158" t="s">
        <v>91</v>
      </c>
      <c r="I29" s="158" t="s">
        <v>196</v>
      </c>
      <c r="J29" s="158" t="s">
        <v>92</v>
      </c>
      <c r="K29" s="159" t="s">
        <v>197</v>
      </c>
      <c r="M29" s="512">
        <v>2002</v>
      </c>
      <c r="N29" s="245">
        <v>564.5609599636814</v>
      </c>
      <c r="O29" s="246">
        <v>331.1977913207777</v>
      </c>
      <c r="P29" s="246">
        <v>152.68171806855236</v>
      </c>
      <c r="Q29" s="247">
        <v>92.399806213655324</v>
      </c>
      <c r="R29" s="245">
        <v>2970.5748710739344</v>
      </c>
      <c r="S29" s="246">
        <v>550.42512892606544</v>
      </c>
      <c r="T29" s="246">
        <v>139.20293060135674</v>
      </c>
      <c r="U29" s="247">
        <v>53.897069398643275</v>
      </c>
      <c r="V29" s="232">
        <v>8663.7275891570243</v>
      </c>
      <c r="W29" s="232">
        <v>3993.0193593870522</v>
      </c>
      <c r="X29" s="232">
        <v>111.2639674514285</v>
      </c>
      <c r="Y29" s="232">
        <v>106.81249814540627</v>
      </c>
      <c r="Z29" s="233">
        <v>7937.9237268750167</v>
      </c>
      <c r="AA29" s="232">
        <v>4267.0762731249843</v>
      </c>
      <c r="AB29" s="232">
        <v>214.94426301371476</v>
      </c>
      <c r="AC29" s="232">
        <v>131.42441784847</v>
      </c>
      <c r="AD29" s="233">
        <v>20136.787147069655</v>
      </c>
      <c r="AE29" s="232">
        <v>9141.7185527588808</v>
      </c>
      <c r="AF29" s="233">
        <v>618.09287913505227</v>
      </c>
      <c r="AG29" s="248">
        <v>384.53379160617487</v>
      </c>
      <c r="AJ29" s="275">
        <v>1988</v>
      </c>
      <c r="AK29" s="276">
        <v>11008</v>
      </c>
      <c r="AL29" s="276">
        <v>27816</v>
      </c>
      <c r="AM29" s="276">
        <v>38824</v>
      </c>
      <c r="AN29" s="276">
        <v>4160</v>
      </c>
      <c r="AO29" s="276">
        <v>16537</v>
      </c>
      <c r="AP29" s="276">
        <v>20697</v>
      </c>
      <c r="AQ29" s="271"/>
      <c r="AR29" s="271"/>
      <c r="AS29" s="271"/>
      <c r="AT29" s="276">
        <v>4160</v>
      </c>
      <c r="AU29" s="276">
        <v>16537</v>
      </c>
      <c r="AV29" s="276">
        <v>20697</v>
      </c>
      <c r="AW29" s="276">
        <v>15168</v>
      </c>
      <c r="AX29" s="276">
        <v>44353</v>
      </c>
      <c r="AY29" s="277">
        <v>59521</v>
      </c>
      <c r="BA29" s="275">
        <v>2011</v>
      </c>
      <c r="BB29" s="276">
        <v>6876</v>
      </c>
      <c r="BC29" s="276">
        <v>12657</v>
      </c>
      <c r="BD29" s="275">
        <v>2011</v>
      </c>
      <c r="BE29" s="276">
        <v>2419</v>
      </c>
      <c r="BF29" s="276">
        <v>5547</v>
      </c>
    </row>
    <row r="30" spans="1:58" ht="15.6" x14ac:dyDescent="0.6">
      <c r="A30" s="276">
        <v>11518</v>
      </c>
      <c r="B30" s="66">
        <v>2008</v>
      </c>
      <c r="C30" s="67">
        <f t="shared" ref="C30:C38" si="29">O8</f>
        <v>269.7606036177412</v>
      </c>
      <c r="D30" s="67">
        <f t="shared" ref="D30:D38" si="30">S8</f>
        <v>562.22421573311135</v>
      </c>
      <c r="E30" s="67">
        <f>BonSThd!I47</f>
        <v>76246</v>
      </c>
      <c r="F30" s="67">
        <v>11518</v>
      </c>
      <c r="G30" s="67">
        <f t="shared" ref="G30:G38" si="31">W8</f>
        <v>4862.8097052041649</v>
      </c>
      <c r="H30" s="67">
        <f t="shared" ref="H30:H36" si="32">C30+D30+G30</f>
        <v>5694.7945245550172</v>
      </c>
      <c r="I30" s="68">
        <f t="shared" ref="I30:I36" si="33">H30/E30</f>
        <v>7.4689747980943494E-2</v>
      </c>
      <c r="J30" s="67">
        <f t="shared" ref="J30:J36" si="34">F30</f>
        <v>11518</v>
      </c>
      <c r="K30" s="69">
        <f t="shared" ref="K30:K36" si="35">J30/E30</f>
        <v>0.15106366235605803</v>
      </c>
      <c r="M30" s="512">
        <v>2003</v>
      </c>
      <c r="N30" s="245">
        <v>1383.5202615300386</v>
      </c>
      <c r="O30" s="246">
        <v>389.44229798229441</v>
      </c>
      <c r="P30" s="246">
        <v>164.92474286564655</v>
      </c>
      <c r="Q30" s="247">
        <v>62.032710388687477</v>
      </c>
      <c r="R30" s="245">
        <v>3942.7022666379062</v>
      </c>
      <c r="S30" s="246">
        <v>228.29773336209388</v>
      </c>
      <c r="T30" s="246">
        <v>181.92521429171421</v>
      </c>
      <c r="U30" s="247">
        <v>18.87478570828582</v>
      </c>
      <c r="V30" s="232">
        <v>4779.2071730926164</v>
      </c>
      <c r="W30" s="232">
        <v>532.7752013366071</v>
      </c>
      <c r="X30" s="232">
        <v>74.949721118727041</v>
      </c>
      <c r="Y30" s="232">
        <v>14.753623225477552</v>
      </c>
      <c r="Z30" s="233">
        <v>11798.343688442768</v>
      </c>
      <c r="AA30" s="232">
        <v>1520.1563115572328</v>
      </c>
      <c r="AB30" s="232">
        <v>235.98428080099808</v>
      </c>
      <c r="AC30" s="232">
        <v>34.154751199521428</v>
      </c>
      <c r="AD30" s="233">
        <v>21903.773389703329</v>
      </c>
      <c r="AE30" s="232">
        <v>2670.6715442382283</v>
      </c>
      <c r="AF30" s="233">
        <v>657.78395907708591</v>
      </c>
      <c r="AG30" s="248">
        <v>129.81587052197227</v>
      </c>
      <c r="AJ30" s="275">
        <v>1989</v>
      </c>
      <c r="AK30" s="276">
        <v>9146</v>
      </c>
      <c r="AL30" s="276">
        <v>24836</v>
      </c>
      <c r="AM30" s="276">
        <v>33982</v>
      </c>
      <c r="AN30" s="276">
        <v>4330</v>
      </c>
      <c r="AO30" s="276">
        <v>17133</v>
      </c>
      <c r="AP30" s="276">
        <v>21463</v>
      </c>
      <c r="AQ30" s="271"/>
      <c r="AR30" s="271"/>
      <c r="AS30" s="271"/>
      <c r="AT30" s="276">
        <v>4330</v>
      </c>
      <c r="AU30" s="276">
        <v>17133</v>
      </c>
      <c r="AV30" s="276">
        <v>21463</v>
      </c>
      <c r="AW30" s="276">
        <v>13476</v>
      </c>
      <c r="AX30" s="276">
        <v>41969</v>
      </c>
      <c r="AY30" s="277">
        <v>55445</v>
      </c>
      <c r="BA30" s="275">
        <v>2012</v>
      </c>
      <c r="BB30" s="276">
        <v>4225</v>
      </c>
      <c r="BC30" s="276">
        <v>7256</v>
      </c>
      <c r="BD30" s="275">
        <v>2012</v>
      </c>
      <c r="BE30" s="276">
        <v>1268</v>
      </c>
      <c r="BF30" s="276">
        <v>2462</v>
      </c>
    </row>
    <row r="31" spans="1:58" ht="15.6" x14ac:dyDescent="0.6">
      <c r="A31" s="276">
        <v>5354</v>
      </c>
      <c r="B31" s="66">
        <v>2009</v>
      </c>
      <c r="C31" s="67">
        <f t="shared" si="29"/>
        <v>67.767798702982205</v>
      </c>
      <c r="D31" s="67">
        <f t="shared" si="30"/>
        <v>275.60160769753168</v>
      </c>
      <c r="E31" s="67">
        <f>BonSThd!I48</f>
        <v>28834</v>
      </c>
      <c r="F31" s="67">
        <v>5354</v>
      </c>
      <c r="G31" s="67">
        <f t="shared" si="31"/>
        <v>5976.1470240261315</v>
      </c>
      <c r="H31" s="67">
        <f t="shared" si="32"/>
        <v>6319.5164304266455</v>
      </c>
      <c r="I31" s="68">
        <f>H31/E31</f>
        <v>0.21916891275669853</v>
      </c>
      <c r="J31" s="67">
        <f t="shared" si="34"/>
        <v>5354</v>
      </c>
      <c r="K31" s="69">
        <f t="shared" si="35"/>
        <v>0.1856835680099882</v>
      </c>
      <c r="M31" s="512">
        <v>2004</v>
      </c>
      <c r="N31" s="245">
        <v>867.60188213053561</v>
      </c>
      <c r="O31" s="246">
        <v>266.82484775039808</v>
      </c>
      <c r="P31" s="246">
        <v>206.24796432178371</v>
      </c>
      <c r="Q31" s="247">
        <v>69.156324997282894</v>
      </c>
      <c r="R31" s="245">
        <v>2387.1397313956654</v>
      </c>
      <c r="S31" s="246">
        <v>91.860268604334806</v>
      </c>
      <c r="T31" s="246">
        <v>95.051458107079256</v>
      </c>
      <c r="U31" s="247">
        <v>5.5485418929207553</v>
      </c>
      <c r="V31" s="232">
        <v>2946.5239542049258</v>
      </c>
      <c r="W31" s="232">
        <v>453.23389398962121</v>
      </c>
      <c r="X31" s="232">
        <v>70.290009041745648</v>
      </c>
      <c r="Y31" s="232">
        <v>18.341650813886776</v>
      </c>
      <c r="Z31" s="233">
        <v>8080.1657716680866</v>
      </c>
      <c r="AA31" s="232">
        <v>923.33422833191287</v>
      </c>
      <c r="AB31" s="232">
        <v>228.50929082794914</v>
      </c>
      <c r="AC31" s="232">
        <v>29.318924650343273</v>
      </c>
      <c r="AD31" s="233">
        <v>14281.431339399212</v>
      </c>
      <c r="AE31" s="232">
        <v>1735.2532386762668</v>
      </c>
      <c r="AF31" s="233">
        <v>600.09872229855773</v>
      </c>
      <c r="AG31" s="248">
        <v>122.3654423544337</v>
      </c>
      <c r="AJ31" s="275">
        <v>1990</v>
      </c>
      <c r="AK31" s="276">
        <v>4339</v>
      </c>
      <c r="AL31" s="276">
        <v>14973</v>
      </c>
      <c r="AM31" s="276">
        <v>19312</v>
      </c>
      <c r="AN31" s="276">
        <v>1899</v>
      </c>
      <c r="AO31" s="276">
        <v>9466</v>
      </c>
      <c r="AP31" s="276">
        <v>11365</v>
      </c>
      <c r="AQ31" s="271"/>
      <c r="AR31" s="271"/>
      <c r="AS31" s="271"/>
      <c r="AT31" s="276">
        <v>1899</v>
      </c>
      <c r="AU31" s="276">
        <v>9466</v>
      </c>
      <c r="AV31" s="276">
        <v>11365</v>
      </c>
      <c r="AW31" s="276">
        <v>6238</v>
      </c>
      <c r="AX31" s="276">
        <v>24439</v>
      </c>
      <c r="AY31" s="277">
        <v>30677</v>
      </c>
      <c r="BA31" s="275">
        <v>2013</v>
      </c>
      <c r="BB31" s="276">
        <v>6149</v>
      </c>
      <c r="BC31" s="276">
        <v>9401</v>
      </c>
      <c r="BD31" s="275">
        <v>2013</v>
      </c>
      <c r="BE31" s="278">
        <v>510</v>
      </c>
      <c r="BF31" s="276">
        <v>1097</v>
      </c>
    </row>
    <row r="32" spans="1:58" ht="15.6" x14ac:dyDescent="0.6">
      <c r="A32" s="276">
        <v>9809</v>
      </c>
      <c r="B32" s="66">
        <v>2010</v>
      </c>
      <c r="C32" s="67">
        <f t="shared" si="29"/>
        <v>210.19418133916741</v>
      </c>
      <c r="D32" s="67">
        <f t="shared" si="30"/>
        <v>953.84235899257476</v>
      </c>
      <c r="E32" s="67">
        <f>BonSThd!I49</f>
        <v>60073</v>
      </c>
      <c r="F32" s="67">
        <v>9809</v>
      </c>
      <c r="G32" s="67">
        <f t="shared" si="31"/>
        <v>5236.6978138905652</v>
      </c>
      <c r="H32" s="67">
        <f t="shared" si="32"/>
        <v>6400.734354222307</v>
      </c>
      <c r="I32" s="68">
        <f t="shared" si="33"/>
        <v>0.10654927095737364</v>
      </c>
      <c r="J32" s="67">
        <f t="shared" si="34"/>
        <v>9809</v>
      </c>
      <c r="K32" s="69">
        <f t="shared" si="35"/>
        <v>0.16328467031778005</v>
      </c>
      <c r="M32" s="512">
        <v>2005</v>
      </c>
      <c r="N32" s="245">
        <v>549.1110378304121</v>
      </c>
      <c r="O32" s="246">
        <v>209.31605666320786</v>
      </c>
      <c r="P32" s="246">
        <v>112.49955923835419</v>
      </c>
      <c r="Q32" s="247">
        <v>48.223090256914752</v>
      </c>
      <c r="R32" s="245">
        <v>2461.9408947089673</v>
      </c>
      <c r="S32" s="246">
        <v>179.05910529103255</v>
      </c>
      <c r="T32" s="246">
        <v>102.14116378835138</v>
      </c>
      <c r="U32" s="247">
        <v>16.058836211648639</v>
      </c>
      <c r="V32" s="232">
        <v>5142.3788694563636</v>
      </c>
      <c r="W32" s="232">
        <v>1553.9754736252601</v>
      </c>
      <c r="X32" s="232">
        <v>87.93110671229158</v>
      </c>
      <c r="Y32" s="232">
        <v>55.657862161373011</v>
      </c>
      <c r="Z32" s="233">
        <v>9188.023993791845</v>
      </c>
      <c r="AA32" s="232">
        <v>1763.9760062081559</v>
      </c>
      <c r="AB32" s="232">
        <v>208.64260430793485</v>
      </c>
      <c r="AC32" s="232">
        <v>48.516647688188051</v>
      </c>
      <c r="AD32" s="233">
        <v>17341.454795787587</v>
      </c>
      <c r="AE32" s="232">
        <v>3706.3266417876566</v>
      </c>
      <c r="AF32" s="233">
        <v>511.21443404693201</v>
      </c>
      <c r="AG32" s="248">
        <v>168.45643631812445</v>
      </c>
      <c r="AJ32" s="275">
        <v>1991</v>
      </c>
      <c r="AK32" s="276">
        <v>8829</v>
      </c>
      <c r="AL32" s="276">
        <v>25059</v>
      </c>
      <c r="AM32" s="276">
        <v>33888</v>
      </c>
      <c r="AN32" s="276">
        <v>1859</v>
      </c>
      <c r="AO32" s="276">
        <v>5395</v>
      </c>
      <c r="AP32" s="276">
        <v>7254</v>
      </c>
      <c r="AQ32" s="271"/>
      <c r="AR32" s="271"/>
      <c r="AS32" s="271"/>
      <c r="AT32" s="276">
        <v>1859</v>
      </c>
      <c r="AU32" s="276">
        <v>5395</v>
      </c>
      <c r="AV32" s="276">
        <v>7254</v>
      </c>
      <c r="AW32" s="276">
        <v>10688</v>
      </c>
      <c r="AX32" s="276">
        <v>30454</v>
      </c>
      <c r="AY32" s="277">
        <v>41142</v>
      </c>
      <c r="BA32" s="275">
        <v>2014</v>
      </c>
      <c r="BB32" s="276">
        <v>8453</v>
      </c>
      <c r="BC32" s="276">
        <v>11143</v>
      </c>
      <c r="BD32" s="275">
        <v>2014</v>
      </c>
      <c r="BE32" s="276">
        <v>2111</v>
      </c>
      <c r="BF32" s="276">
        <v>3753</v>
      </c>
    </row>
    <row r="33" spans="1:58" ht="15.6" x14ac:dyDescent="0.6">
      <c r="A33" s="276">
        <v>5547</v>
      </c>
      <c r="B33" s="66">
        <v>2011</v>
      </c>
      <c r="C33" s="67">
        <f t="shared" si="29"/>
        <v>235.53269311925885</v>
      </c>
      <c r="D33" s="67">
        <f t="shared" si="30"/>
        <v>861.97177991557055</v>
      </c>
      <c r="E33" s="67">
        <f>BonSThd!I50</f>
        <v>24473</v>
      </c>
      <c r="F33" s="67">
        <v>5547</v>
      </c>
      <c r="G33" s="67">
        <f t="shared" si="31"/>
        <v>2906.7631484980748</v>
      </c>
      <c r="H33" s="67">
        <f t="shared" si="32"/>
        <v>4004.2676215329043</v>
      </c>
      <c r="I33" s="68">
        <f t="shared" si="33"/>
        <v>0.16361981046593815</v>
      </c>
      <c r="J33" s="67">
        <f t="shared" si="34"/>
        <v>5547</v>
      </c>
      <c r="K33" s="69">
        <f t="shared" si="35"/>
        <v>0.22665794957708496</v>
      </c>
      <c r="M33" s="512">
        <v>2006</v>
      </c>
      <c r="N33" s="245">
        <v>423.17830917625088</v>
      </c>
      <c r="O33" s="246">
        <v>240.75995248907651</v>
      </c>
      <c r="P33" s="246">
        <v>119.70697702996181</v>
      </c>
      <c r="Q33" s="247">
        <v>26.273058504710765</v>
      </c>
      <c r="R33" s="245">
        <v>3609.788259503609</v>
      </c>
      <c r="S33" s="246">
        <v>638.21174049639103</v>
      </c>
      <c r="T33" s="246">
        <v>157.36980572936247</v>
      </c>
      <c r="U33" s="247">
        <v>14.930194270637546</v>
      </c>
      <c r="V33" s="232">
        <v>5366.9978256430622</v>
      </c>
      <c r="W33" s="232">
        <v>2326.3926505474137</v>
      </c>
      <c r="X33" s="232">
        <v>126.50591100186804</v>
      </c>
      <c r="Y33" s="232">
        <v>51.394714430786038</v>
      </c>
      <c r="Z33" s="233">
        <v>8925.1341973028175</v>
      </c>
      <c r="AA33" s="232">
        <v>3613.3658026971843</v>
      </c>
      <c r="AB33" s="232">
        <v>300.85772271970785</v>
      </c>
      <c r="AC33" s="232">
        <v>44.499561774242991</v>
      </c>
      <c r="AD33" s="233">
        <v>18325.098591625741</v>
      </c>
      <c r="AE33" s="232">
        <v>6818.7301462300657</v>
      </c>
      <c r="AF33" s="233">
        <v>704.44041648090024</v>
      </c>
      <c r="AG33" s="248">
        <v>137.09752898037732</v>
      </c>
      <c r="AJ33" s="275">
        <v>1992</v>
      </c>
      <c r="AK33" s="276">
        <v>7157</v>
      </c>
      <c r="AL33" s="276">
        <v>30811</v>
      </c>
      <c r="AM33" s="276">
        <v>37968</v>
      </c>
      <c r="AN33" s="276">
        <v>3348</v>
      </c>
      <c r="AO33" s="276">
        <v>11125</v>
      </c>
      <c r="AP33" s="276">
        <v>14473</v>
      </c>
      <c r="AQ33" s="271"/>
      <c r="AR33" s="271"/>
      <c r="AS33" s="271"/>
      <c r="AT33" s="276">
        <v>3348</v>
      </c>
      <c r="AU33" s="276">
        <v>11125</v>
      </c>
      <c r="AV33" s="276">
        <v>14473</v>
      </c>
      <c r="AW33" s="276">
        <v>10505</v>
      </c>
      <c r="AX33" s="276">
        <v>41936</v>
      </c>
      <c r="AY33" s="277">
        <v>52441</v>
      </c>
      <c r="BA33" s="275">
        <v>2015</v>
      </c>
      <c r="BB33" s="276">
        <v>5384</v>
      </c>
      <c r="BC33" s="276">
        <v>8901</v>
      </c>
      <c r="BD33" s="275">
        <v>2015</v>
      </c>
      <c r="BE33" s="278">
        <v>802</v>
      </c>
      <c r="BF33" s="276">
        <v>1484</v>
      </c>
    </row>
    <row r="34" spans="1:58" ht="15.9" thickBot="1" x14ac:dyDescent="0.65">
      <c r="A34" s="276">
        <v>2462</v>
      </c>
      <c r="B34" s="66">
        <v>2012</v>
      </c>
      <c r="C34" s="67">
        <f t="shared" si="29"/>
        <v>65.320412432822138</v>
      </c>
      <c r="D34" s="67">
        <f t="shared" si="30"/>
        <v>492.02848497884668</v>
      </c>
      <c r="E34" s="67">
        <f>BonSThd!I51</f>
        <v>18464</v>
      </c>
      <c r="F34" s="67">
        <v>2462</v>
      </c>
      <c r="G34" s="67">
        <f t="shared" si="31"/>
        <v>3542.4755472472589</v>
      </c>
      <c r="H34" s="67">
        <f t="shared" si="32"/>
        <v>4099.8244446589279</v>
      </c>
      <c r="I34" s="68">
        <f t="shared" si="33"/>
        <v>0.22204421818993328</v>
      </c>
      <c r="J34" s="67">
        <f t="shared" si="34"/>
        <v>2462</v>
      </c>
      <c r="K34" s="69">
        <f t="shared" si="35"/>
        <v>0.13334055459272098</v>
      </c>
      <c r="M34" s="512">
        <v>2007</v>
      </c>
      <c r="N34" s="245">
        <v>181.64882091558366</v>
      </c>
      <c r="O34" s="246">
        <v>145.28161296316568</v>
      </c>
      <c r="P34" s="246">
        <v>53.960851724490766</v>
      </c>
      <c r="Q34" s="247">
        <v>23.756269496759892</v>
      </c>
      <c r="R34" s="245">
        <v>4292.6421730181519</v>
      </c>
      <c r="S34" s="246">
        <v>453.35782698184846</v>
      </c>
      <c r="T34" s="246">
        <v>157.71504479577294</v>
      </c>
      <c r="U34" s="247">
        <v>11.584955204227075</v>
      </c>
      <c r="V34" s="232">
        <v>8250.4797489376942</v>
      </c>
      <c r="W34" s="232">
        <v>4660.7216240600173</v>
      </c>
      <c r="X34" s="232">
        <v>201.35532632748456</v>
      </c>
      <c r="Y34" s="232">
        <v>181.91204530135909</v>
      </c>
      <c r="Z34" s="233">
        <v>11221.460439051396</v>
      </c>
      <c r="AA34" s="232">
        <v>3949.5395609486059</v>
      </c>
      <c r="AB34" s="232">
        <v>453.96730082621463</v>
      </c>
      <c r="AC34" s="232">
        <v>76.952192080090015</v>
      </c>
      <c r="AD34" s="233">
        <v>23946.231181922827</v>
      </c>
      <c r="AE34" s="232">
        <v>9208.9006249536378</v>
      </c>
      <c r="AF34" s="233">
        <v>866.99852367396284</v>
      </c>
      <c r="AG34" s="248">
        <v>294.20546208243604</v>
      </c>
      <c r="AJ34" s="275">
        <v>1993</v>
      </c>
      <c r="AK34" s="276">
        <v>4362</v>
      </c>
      <c r="AL34" s="276">
        <v>16054</v>
      </c>
      <c r="AM34" s="276">
        <v>20416</v>
      </c>
      <c r="AN34" s="278">
        <v>836</v>
      </c>
      <c r="AO34" s="276">
        <v>7538</v>
      </c>
      <c r="AP34" s="276">
        <v>8374</v>
      </c>
      <c r="AQ34" s="271"/>
      <c r="AR34" s="271"/>
      <c r="AS34" s="271"/>
      <c r="AT34" s="278">
        <v>836</v>
      </c>
      <c r="AU34" s="276">
        <v>7538</v>
      </c>
      <c r="AV34" s="276">
        <v>8374</v>
      </c>
      <c r="AW34" s="276">
        <v>5198</v>
      </c>
      <c r="AX34" s="276">
        <v>23592</v>
      </c>
      <c r="AY34" s="277">
        <v>28790</v>
      </c>
      <c r="BA34" s="272">
        <v>2016</v>
      </c>
      <c r="BB34" s="279">
        <v>3141</v>
      </c>
      <c r="BC34" s="279">
        <v>6164</v>
      </c>
      <c r="BD34" s="272">
        <v>2016</v>
      </c>
      <c r="BE34" s="279">
        <v>1347</v>
      </c>
      <c r="BF34" s="279">
        <v>2897</v>
      </c>
    </row>
    <row r="35" spans="1:58" ht="15.6" x14ac:dyDescent="0.6">
      <c r="A35" s="276">
        <v>1097</v>
      </c>
      <c r="B35" s="66">
        <v>2013</v>
      </c>
      <c r="C35" s="67">
        <f t="shared" si="29"/>
        <v>34.445116473445168</v>
      </c>
      <c r="D35" s="67">
        <f t="shared" si="30"/>
        <v>94.156619336674765</v>
      </c>
      <c r="E35" s="67">
        <f>BonSThd!I52</f>
        <v>8348</v>
      </c>
      <c r="F35" s="67">
        <v>1097</v>
      </c>
      <c r="G35" s="67">
        <f t="shared" si="31"/>
        <v>1273.802666733312</v>
      </c>
      <c r="H35" s="67">
        <f t="shared" si="32"/>
        <v>1402.4044025434318</v>
      </c>
      <c r="I35" s="68">
        <f t="shared" si="33"/>
        <v>0.16799286087008047</v>
      </c>
      <c r="J35" s="67">
        <f t="shared" si="34"/>
        <v>1097</v>
      </c>
      <c r="K35" s="69">
        <f t="shared" si="35"/>
        <v>0.1314087206516531</v>
      </c>
      <c r="M35" s="512">
        <v>2008</v>
      </c>
      <c r="N35" s="245">
        <v>386.27680562323133</v>
      </c>
      <c r="O35" s="246">
        <v>269.7606036177412</v>
      </c>
      <c r="P35" s="246">
        <v>140.80020300135973</v>
      </c>
      <c r="Q35" s="247">
        <v>63.165175979890044</v>
      </c>
      <c r="R35" s="245">
        <v>2025.7757842668886</v>
      </c>
      <c r="S35" s="246">
        <v>562.22421573311135</v>
      </c>
      <c r="T35" s="246">
        <v>99.332040348700417</v>
      </c>
      <c r="U35" s="247">
        <v>21.967959651299587</v>
      </c>
      <c r="V35" s="232">
        <v>4169.0331685727888</v>
      </c>
      <c r="W35" s="232">
        <v>2432.4485956341664</v>
      </c>
      <c r="X35" s="232">
        <v>137.23091968146585</v>
      </c>
      <c r="Y35" s="232">
        <v>86.746544504908172</v>
      </c>
      <c r="Z35" s="233">
        <v>3863.638890430002</v>
      </c>
      <c r="AA35" s="232">
        <v>2430.361109569998</v>
      </c>
      <c r="AB35" s="232">
        <v>141.1568292455367</v>
      </c>
      <c r="AC35" s="232">
        <v>57.584911266966529</v>
      </c>
      <c r="AD35" s="233">
        <v>10444.72464889291</v>
      </c>
      <c r="AE35" s="232">
        <v>5694.7945245550172</v>
      </c>
      <c r="AF35" s="233">
        <v>518.51999227706278</v>
      </c>
      <c r="AG35" s="248">
        <v>229.46459140306433</v>
      </c>
      <c r="AJ35" s="275">
        <v>1994</v>
      </c>
      <c r="AK35" s="276">
        <v>2182</v>
      </c>
      <c r="AL35" s="276">
        <v>10022</v>
      </c>
      <c r="AM35" s="276">
        <v>12204</v>
      </c>
      <c r="AN35" s="278">
        <v>958</v>
      </c>
      <c r="AO35" s="276">
        <v>2363</v>
      </c>
      <c r="AP35" s="276">
        <v>3321</v>
      </c>
      <c r="AQ35" s="271"/>
      <c r="AR35" s="271"/>
      <c r="AS35" s="271"/>
      <c r="AT35" s="278">
        <v>958</v>
      </c>
      <c r="AU35" s="276">
        <v>2363</v>
      </c>
      <c r="AV35" s="276">
        <v>3321</v>
      </c>
      <c r="AW35" s="276">
        <v>3140</v>
      </c>
      <c r="AX35" s="276">
        <v>12385</v>
      </c>
      <c r="AY35" s="277">
        <v>15525</v>
      </c>
    </row>
    <row r="36" spans="1:58" ht="15.6" x14ac:dyDescent="0.6">
      <c r="A36" s="276">
        <v>3753</v>
      </c>
      <c r="B36" s="66">
        <v>2014</v>
      </c>
      <c r="C36" s="67">
        <f t="shared" si="29"/>
        <v>119.23524915764213</v>
      </c>
      <c r="D36" s="67">
        <f t="shared" si="30"/>
        <v>505.32328767123283</v>
      </c>
      <c r="E36" s="67">
        <f>BonSThd!I53</f>
        <v>30827</v>
      </c>
      <c r="F36" s="67">
        <v>3753</v>
      </c>
      <c r="G36" s="67">
        <f t="shared" si="31"/>
        <v>3162.1777103993718</v>
      </c>
      <c r="H36" s="67">
        <f t="shared" si="32"/>
        <v>3786.7362472282466</v>
      </c>
      <c r="I36" s="68">
        <f t="shared" si="33"/>
        <v>0.12283829912830463</v>
      </c>
      <c r="J36" s="67">
        <f t="shared" si="34"/>
        <v>3753</v>
      </c>
      <c r="K36" s="69">
        <f t="shared" si="35"/>
        <v>0.12174392577934927</v>
      </c>
      <c r="M36" s="512">
        <v>2009</v>
      </c>
      <c r="N36" s="245">
        <v>739.85674332506971</v>
      </c>
      <c r="O36" s="246">
        <v>67.767798702982205</v>
      </c>
      <c r="P36" s="246">
        <v>239.34612743059159</v>
      </c>
      <c r="Q36" s="247">
        <v>29.480037341356383</v>
      </c>
      <c r="R36" s="245">
        <v>7049.398392302468</v>
      </c>
      <c r="S36" s="246">
        <v>275.60160769753168</v>
      </c>
      <c r="T36" s="246">
        <v>411.76228187233363</v>
      </c>
      <c r="U36" s="247">
        <v>26.237718127666419</v>
      </c>
      <c r="V36" s="232">
        <v>8607.4978501843143</v>
      </c>
      <c r="W36" s="232">
        <v>2936.0443213813728</v>
      </c>
      <c r="X36" s="232">
        <v>285.66732919046279</v>
      </c>
      <c r="Y36" s="232">
        <v>152.32888718345109</v>
      </c>
      <c r="Z36" s="233">
        <v>19653.397297355241</v>
      </c>
      <c r="AA36" s="232">
        <v>3040.1027026447591</v>
      </c>
      <c r="AB36" s="232">
        <v>600.05390176510605</v>
      </c>
      <c r="AC36" s="232">
        <v>125.7942371829258</v>
      </c>
      <c r="AD36" s="233">
        <v>36050.150283167095</v>
      </c>
      <c r="AE36" s="232">
        <v>6319.5164304266455</v>
      </c>
      <c r="AF36" s="233">
        <v>1536.829640258494</v>
      </c>
      <c r="AG36" s="248">
        <v>333.84087983539973</v>
      </c>
      <c r="AJ36" s="275">
        <v>1995</v>
      </c>
      <c r="AK36" s="276">
        <v>2706</v>
      </c>
      <c r="AL36" s="276">
        <v>16002</v>
      </c>
      <c r="AM36" s="276">
        <v>18708</v>
      </c>
      <c r="AN36" s="278">
        <v>344</v>
      </c>
      <c r="AO36" s="276">
        <v>1340</v>
      </c>
      <c r="AP36" s="276">
        <v>1684</v>
      </c>
      <c r="AQ36" s="271"/>
      <c r="AR36" s="271"/>
      <c r="AS36" s="271"/>
      <c r="AT36" s="278">
        <v>344</v>
      </c>
      <c r="AU36" s="276">
        <v>1340</v>
      </c>
      <c r="AV36" s="276">
        <v>1684</v>
      </c>
      <c r="AW36" s="276">
        <v>3050</v>
      </c>
      <c r="AX36" s="276">
        <v>17342</v>
      </c>
      <c r="AY36" s="277">
        <v>20392</v>
      </c>
    </row>
    <row r="37" spans="1:58" ht="15.6" x14ac:dyDescent="0.6">
      <c r="A37" s="276">
        <v>1484</v>
      </c>
      <c r="B37" s="66">
        <v>2015</v>
      </c>
      <c r="C37" s="67">
        <f t="shared" si="29"/>
        <v>54.942860152590896</v>
      </c>
      <c r="D37" s="67">
        <f t="shared" si="30"/>
        <v>87.947021928588327</v>
      </c>
      <c r="E37" s="67">
        <f>BonSThd!I54</f>
        <v>9590</v>
      </c>
      <c r="F37" s="67">
        <v>1484</v>
      </c>
      <c r="G37" s="67">
        <f t="shared" si="31"/>
        <v>2137.4640984213834</v>
      </c>
      <c r="H37" s="67">
        <f t="shared" ref="H37" si="36">C37+D37+G37</f>
        <v>2280.3539805025625</v>
      </c>
      <c r="I37" s="68">
        <f t="shared" ref="I37" si="37">H37/E37</f>
        <v>0.23778456522445907</v>
      </c>
      <c r="J37" s="67">
        <f t="shared" ref="J37:J38" si="38">F37</f>
        <v>1484</v>
      </c>
      <c r="K37" s="69">
        <f t="shared" ref="K37" si="39">J37/E37</f>
        <v>0.15474452554744525</v>
      </c>
      <c r="M37" s="512">
        <v>2010</v>
      </c>
      <c r="N37" s="245">
        <v>460.06082229799262</v>
      </c>
      <c r="O37" s="246">
        <v>210.19418133916741</v>
      </c>
      <c r="P37" s="246">
        <v>209.67110813167426</v>
      </c>
      <c r="Q37" s="247">
        <v>76.791177839687265</v>
      </c>
      <c r="R37" s="245">
        <v>5090.1576410074258</v>
      </c>
      <c r="S37" s="246">
        <v>953.84235899257476</v>
      </c>
      <c r="T37" s="246">
        <v>275.85440285930315</v>
      </c>
      <c r="U37" s="247">
        <v>63.545597140696863</v>
      </c>
      <c r="V37" s="232">
        <v>4074.7746567337117</v>
      </c>
      <c r="W37" s="232">
        <v>2355.4885949366667</v>
      </c>
      <c r="X37" s="232">
        <v>135.38893572618042</v>
      </c>
      <c r="Y37" s="232">
        <v>138.09468219287868</v>
      </c>
      <c r="Z37" s="233">
        <v>6906.790781046102</v>
      </c>
      <c r="AA37" s="232">
        <v>2881.209218953898</v>
      </c>
      <c r="AB37" s="232">
        <v>313.77720642722659</v>
      </c>
      <c r="AC37" s="232">
        <v>114.04829452414128</v>
      </c>
      <c r="AD37" s="233">
        <v>16531.783901085233</v>
      </c>
      <c r="AE37" s="232">
        <v>6400.734354222307</v>
      </c>
      <c r="AF37" s="233">
        <v>934.69165314438442</v>
      </c>
      <c r="AG37" s="248">
        <v>392.47975169740408</v>
      </c>
      <c r="AJ37" s="275">
        <v>1996</v>
      </c>
      <c r="AK37" s="276">
        <v>2278</v>
      </c>
      <c r="AL37" s="276">
        <v>11861</v>
      </c>
      <c r="AM37" s="276">
        <v>14139</v>
      </c>
      <c r="AN37" s="276">
        <v>1354</v>
      </c>
      <c r="AO37" s="276">
        <v>3215</v>
      </c>
      <c r="AP37" s="276">
        <v>4569</v>
      </c>
      <c r="AQ37" s="271"/>
      <c r="AR37" s="271"/>
      <c r="AS37" s="271"/>
      <c r="AT37" s="276">
        <v>1354</v>
      </c>
      <c r="AU37" s="276">
        <v>3215</v>
      </c>
      <c r="AV37" s="276">
        <v>4569</v>
      </c>
      <c r="AW37" s="276">
        <v>3632</v>
      </c>
      <c r="AX37" s="276">
        <v>15076</v>
      </c>
      <c r="AY37" s="277">
        <v>18708</v>
      </c>
    </row>
    <row r="38" spans="1:58" ht="15.9" thickBot="1" x14ac:dyDescent="0.65">
      <c r="A38" s="279">
        <v>2897</v>
      </c>
      <c r="B38" s="66">
        <v>2016</v>
      </c>
      <c r="C38" s="67">
        <f t="shared" si="29"/>
        <v>71.551252805775036</v>
      </c>
      <c r="D38" s="67">
        <f t="shared" si="30"/>
        <v>490.87800704127147</v>
      </c>
      <c r="E38" s="67">
        <f>BonSThd!I55</f>
        <v>33839</v>
      </c>
      <c r="F38" s="67">
        <v>2897</v>
      </c>
      <c r="G38" s="67">
        <f t="shared" si="31"/>
        <v>4353.5984501463427</v>
      </c>
      <c r="H38" s="67">
        <f>C38+D38+G38</f>
        <v>4916.0277099933892</v>
      </c>
      <c r="I38" s="68">
        <f>H38/E38</f>
        <v>0.14527697952047605</v>
      </c>
      <c r="J38" s="67">
        <f t="shared" si="38"/>
        <v>2897</v>
      </c>
      <c r="K38" s="69">
        <f>J38/E38</f>
        <v>8.5611276928987262E-2</v>
      </c>
      <c r="M38" s="512">
        <v>2011</v>
      </c>
      <c r="N38" s="245">
        <v>921.28693184735869</v>
      </c>
      <c r="O38" s="246">
        <v>235.53269311925885</v>
      </c>
      <c r="P38" s="246">
        <v>291.79943482367264</v>
      </c>
      <c r="Q38" s="247">
        <v>31.449864590095412</v>
      </c>
      <c r="R38" s="245">
        <v>11191.028220084429</v>
      </c>
      <c r="S38" s="246">
        <v>861.97177991557055</v>
      </c>
      <c r="T38" s="246">
        <v>730.84863877403347</v>
      </c>
      <c r="U38" s="247">
        <v>42.051361225966552</v>
      </c>
      <c r="V38" s="232">
        <v>7014.9860821403763</v>
      </c>
      <c r="W38" s="232">
        <v>1377.3346725766053</v>
      </c>
      <c r="X38" s="232">
        <v>286.30105982880775</v>
      </c>
      <c r="Y38" s="232">
        <v>59.128090646821526</v>
      </c>
      <c r="Z38" s="233">
        <v>7178.0715240785303</v>
      </c>
      <c r="AA38" s="232">
        <v>1529.4284759214693</v>
      </c>
      <c r="AB38" s="232">
        <v>301.51523155602149</v>
      </c>
      <c r="AC38" s="232">
        <v>36.957500132419547</v>
      </c>
      <c r="AD38" s="233">
        <v>26305.37275815069</v>
      </c>
      <c r="AE38" s="232">
        <v>4004.2676215329043</v>
      </c>
      <c r="AF38" s="233">
        <v>1610.4643649825355</v>
      </c>
      <c r="AG38" s="248">
        <v>169.58681659530302</v>
      </c>
      <c r="AJ38" s="275">
        <v>1997</v>
      </c>
      <c r="AK38" s="276">
        <v>3198</v>
      </c>
      <c r="AL38" s="276">
        <v>17567</v>
      </c>
      <c r="AM38" s="276">
        <v>20765</v>
      </c>
      <c r="AN38" s="278">
        <v>558</v>
      </c>
      <c r="AO38" s="276">
        <v>1381</v>
      </c>
      <c r="AP38" s="276">
        <v>1939</v>
      </c>
      <c r="AQ38" s="271"/>
      <c r="AR38" s="271"/>
      <c r="AS38" s="271"/>
      <c r="AT38" s="278">
        <v>558</v>
      </c>
      <c r="AU38" s="276">
        <v>1381</v>
      </c>
      <c r="AV38" s="276">
        <v>1939</v>
      </c>
      <c r="AW38" s="276">
        <v>3756</v>
      </c>
      <c r="AX38" s="276">
        <v>18948</v>
      </c>
      <c r="AY38" s="277">
        <v>22704</v>
      </c>
    </row>
    <row r="39" spans="1:58" ht="15.6" x14ac:dyDescent="0.6">
      <c r="B39" s="160"/>
      <c r="C39" s="161"/>
      <c r="D39" s="161"/>
      <c r="E39" s="161"/>
      <c r="F39" s="161"/>
      <c r="G39" s="161"/>
      <c r="H39" s="161"/>
      <c r="I39" s="161"/>
      <c r="J39" s="161"/>
      <c r="K39" s="162"/>
      <c r="M39" s="512">
        <v>2012</v>
      </c>
      <c r="N39" s="265">
        <v>417.7496761966824</v>
      </c>
      <c r="O39" s="266">
        <v>65.320412432822138</v>
      </c>
      <c r="P39" s="266">
        <v>141.62896608448114</v>
      </c>
      <c r="Q39" s="267">
        <v>19.530504205062893</v>
      </c>
      <c r="R39" s="265">
        <v>5125.9715150211541</v>
      </c>
      <c r="S39" s="266">
        <v>492.02848497884668</v>
      </c>
      <c r="T39" s="266">
        <v>307.7323612539958</v>
      </c>
      <c r="U39" s="267">
        <v>38.667638746004279</v>
      </c>
      <c r="V39" s="232">
        <v>5773.8059284460596</v>
      </c>
      <c r="W39" s="232">
        <v>2482.1715876138978</v>
      </c>
      <c r="X39" s="232">
        <v>184.97148356967702</v>
      </c>
      <c r="Y39" s="232">
        <v>87.781205489498205</v>
      </c>
      <c r="Z39" s="233">
        <v>4441.696040366639</v>
      </c>
      <c r="AA39" s="232">
        <v>1060.3039596333613</v>
      </c>
      <c r="AB39" s="232">
        <v>139.14026886659099</v>
      </c>
      <c r="AC39" s="232">
        <v>23.848982997185679</v>
      </c>
      <c r="AD39" s="233">
        <v>15759.223160030535</v>
      </c>
      <c r="AE39" s="232">
        <v>4099.8244446589279</v>
      </c>
      <c r="AF39" s="233">
        <v>773.47307977474497</v>
      </c>
      <c r="AG39" s="248">
        <v>169.82833143775107</v>
      </c>
      <c r="AJ39" s="275">
        <v>1998</v>
      </c>
      <c r="AK39" s="276">
        <v>3064</v>
      </c>
      <c r="AL39" s="276">
        <v>7101</v>
      </c>
      <c r="AM39" s="276">
        <v>10165</v>
      </c>
      <c r="AN39" s="278">
        <v>533</v>
      </c>
      <c r="AO39" s="276">
        <v>1878</v>
      </c>
      <c r="AP39" s="276">
        <v>2411</v>
      </c>
      <c r="AQ39" s="271"/>
      <c r="AR39" s="271"/>
      <c r="AS39" s="271"/>
      <c r="AT39" s="278">
        <v>533</v>
      </c>
      <c r="AU39" s="276">
        <v>1878</v>
      </c>
      <c r="AV39" s="276">
        <v>2411</v>
      </c>
      <c r="AW39" s="276">
        <v>3597</v>
      </c>
      <c r="AX39" s="276">
        <v>8979</v>
      </c>
      <c r="AY39" s="277">
        <v>12576</v>
      </c>
    </row>
    <row r="40" spans="1:58" ht="15.6" x14ac:dyDescent="0.6">
      <c r="B40" s="163"/>
      <c r="C40" s="166" t="s">
        <v>230</v>
      </c>
      <c r="D40" s="164"/>
      <c r="E40" s="164"/>
      <c r="F40" s="164"/>
      <c r="G40" s="164"/>
      <c r="H40" s="164"/>
      <c r="I40" s="164"/>
      <c r="J40" s="164"/>
      <c r="K40" s="165"/>
      <c r="M40" s="512">
        <v>2013</v>
      </c>
      <c r="N40" s="265">
        <v>356.0049759614455</v>
      </c>
      <c r="O40" s="266">
        <v>34.445116473445168</v>
      </c>
      <c r="P40" s="266">
        <v>207.58457640962186</v>
      </c>
      <c r="Q40" s="267">
        <v>11.237616395384823</v>
      </c>
      <c r="R40" s="265">
        <v>6044.8433806633257</v>
      </c>
      <c r="S40" s="266">
        <v>94.156619336674765</v>
      </c>
      <c r="T40" s="266">
        <v>644.51910294021036</v>
      </c>
      <c r="U40" s="267">
        <v>2.5808970597895891</v>
      </c>
      <c r="V40" s="232">
        <v>3633.5210973677044</v>
      </c>
      <c r="W40" s="232">
        <v>726.91600212639298</v>
      </c>
      <c r="X40" s="232">
        <v>169.95888305260937</v>
      </c>
      <c r="Y40" s="232">
        <v>69.218571074185348</v>
      </c>
      <c r="Z40" s="233">
        <v>6951.6133353930809</v>
      </c>
      <c r="AA40" s="232">
        <v>546.88666460691888</v>
      </c>
      <c r="AB40" s="232">
        <v>407.86850333218428</v>
      </c>
      <c r="AC40" s="232">
        <v>14.203581004002109</v>
      </c>
      <c r="AD40" s="233">
        <v>16985.982789385558</v>
      </c>
      <c r="AE40" s="232">
        <v>1402.4044025434318</v>
      </c>
      <c r="AF40" s="233">
        <v>1429.9310657346259</v>
      </c>
      <c r="AG40" s="248">
        <v>97.240665533361863</v>
      </c>
      <c r="AJ40" s="275">
        <v>1999</v>
      </c>
      <c r="AK40" s="276">
        <v>3034</v>
      </c>
      <c r="AL40" s="276">
        <v>9186</v>
      </c>
      <c r="AM40" s="276">
        <v>12220</v>
      </c>
      <c r="AN40" s="278">
        <v>470</v>
      </c>
      <c r="AO40" s="276">
        <v>4778</v>
      </c>
      <c r="AP40" s="276">
        <v>5248</v>
      </c>
      <c r="AQ40" s="271"/>
      <c r="AR40" s="271"/>
      <c r="AS40" s="271"/>
      <c r="AT40" s="278">
        <v>470</v>
      </c>
      <c r="AU40" s="276">
        <v>4778</v>
      </c>
      <c r="AV40" s="276">
        <v>5248</v>
      </c>
      <c r="AW40" s="276">
        <v>3504</v>
      </c>
      <c r="AX40" s="276">
        <v>13964</v>
      </c>
      <c r="AY40" s="277">
        <v>17468</v>
      </c>
    </row>
    <row r="41" spans="1:58" ht="22.2" x14ac:dyDescent="0.6">
      <c r="B41" s="157" t="s">
        <v>55</v>
      </c>
      <c r="C41" s="158" t="s">
        <v>192</v>
      </c>
      <c r="D41" s="158" t="s">
        <v>193</v>
      </c>
      <c r="E41" s="158" t="s">
        <v>194</v>
      </c>
      <c r="F41" s="158" t="s">
        <v>211</v>
      </c>
      <c r="G41" s="158" t="s">
        <v>195</v>
      </c>
      <c r="H41" s="158" t="s">
        <v>91</v>
      </c>
      <c r="I41" s="158" t="s">
        <v>196</v>
      </c>
      <c r="J41" s="158" t="s">
        <v>92</v>
      </c>
      <c r="K41" s="159" t="s">
        <v>197</v>
      </c>
      <c r="M41" s="512">
        <v>2014</v>
      </c>
      <c r="N41" s="265">
        <v>526.86077761358979</v>
      </c>
      <c r="O41" s="266">
        <v>119.23524915764213</v>
      </c>
      <c r="P41" s="266">
        <v>334.72546927751705</v>
      </c>
      <c r="Q41" s="267">
        <v>30.569233951251015</v>
      </c>
      <c r="R41" s="265">
        <v>5869.6767123287673</v>
      </c>
      <c r="S41" s="266">
        <v>505.32328767123283</v>
      </c>
      <c r="T41" s="266">
        <v>514.29184760879275</v>
      </c>
      <c r="U41" s="267">
        <v>12.608152391207319</v>
      </c>
      <c r="V41" s="232">
        <v>4182.0126734836831</v>
      </c>
      <c r="W41" s="232">
        <v>1245.9400068604602</v>
      </c>
      <c r="X41" s="232">
        <v>250.3790394907158</v>
      </c>
      <c r="Y41" s="232">
        <v>62.599349737046388</v>
      </c>
      <c r="Z41" s="233">
        <v>7196.2622964610882</v>
      </c>
      <c r="AA41" s="232">
        <v>1916.2377035389118</v>
      </c>
      <c r="AB41" s="232">
        <v>449.18373169373524</v>
      </c>
      <c r="AC41" s="232">
        <v>46.576859442665693</v>
      </c>
      <c r="AD41" s="233">
        <v>17774.812459887129</v>
      </c>
      <c r="AE41" s="232">
        <v>3786.7362472282471</v>
      </c>
      <c r="AF41" s="233">
        <v>1548.5800880707607</v>
      </c>
      <c r="AG41" s="248">
        <v>152.35359552217042</v>
      </c>
      <c r="AJ41" s="275">
        <v>2000</v>
      </c>
      <c r="AK41" s="276">
        <v>2740</v>
      </c>
      <c r="AL41" s="276">
        <v>9258</v>
      </c>
      <c r="AM41" s="276">
        <v>11998</v>
      </c>
      <c r="AN41" s="276">
        <v>1200</v>
      </c>
      <c r="AO41" s="276">
        <v>5172</v>
      </c>
      <c r="AP41" s="276">
        <v>6372</v>
      </c>
      <c r="AQ41" s="271"/>
      <c r="AR41" s="271"/>
      <c r="AS41" s="271"/>
      <c r="AT41" s="276">
        <v>1200</v>
      </c>
      <c r="AU41" s="276">
        <v>5172</v>
      </c>
      <c r="AV41" s="276">
        <v>6372</v>
      </c>
      <c r="AW41" s="276">
        <v>3940</v>
      </c>
      <c r="AX41" s="276">
        <v>14430</v>
      </c>
      <c r="AY41" s="277">
        <v>18370</v>
      </c>
    </row>
    <row r="42" spans="1:58" ht="15.6" x14ac:dyDescent="0.6">
      <c r="A42" s="276">
        <v>2673</v>
      </c>
      <c r="B42" s="66">
        <v>2008</v>
      </c>
      <c r="C42" s="67">
        <f t="shared" ref="C42:C50" si="40">Q8</f>
        <v>63.165175979890044</v>
      </c>
      <c r="D42" s="67">
        <f t="shared" ref="D42:D50" si="41">U8</f>
        <v>21.967959651299587</v>
      </c>
      <c r="E42" s="67">
        <f>BonSThd!J47+BonSThd!K47</f>
        <v>20088</v>
      </c>
      <c r="F42" s="67">
        <v>2673</v>
      </c>
      <c r="G42" s="67">
        <f t="shared" ref="G42:G50" si="42">Y8</f>
        <v>144.33145577187469</v>
      </c>
      <c r="H42" s="67">
        <f t="shared" ref="H42:H47" si="43">C42+D42+G42</f>
        <v>229.46459140306433</v>
      </c>
      <c r="I42" s="68">
        <f t="shared" ref="I42:I47" si="44">H42/E42</f>
        <v>1.1422968508714871E-2</v>
      </c>
      <c r="J42" s="67">
        <f t="shared" ref="J42:J47" si="45">F42</f>
        <v>2673</v>
      </c>
      <c r="K42" s="69">
        <f t="shared" ref="K42:K47" si="46">J42/E42</f>
        <v>0.13306451612903225</v>
      </c>
      <c r="M42" s="512">
        <v>2015</v>
      </c>
      <c r="N42" s="265">
        <v>417.10872292294607</v>
      </c>
      <c r="O42" s="266">
        <v>54.942860152590896</v>
      </c>
      <c r="P42" s="266">
        <v>171.75537026662801</v>
      </c>
      <c r="Q42" s="267">
        <v>14.970512524212193</v>
      </c>
      <c r="R42" s="265">
        <v>4124.0529780714114</v>
      </c>
      <c r="S42" s="266">
        <v>87.947021928588327</v>
      </c>
      <c r="T42" s="266">
        <v>257.74064216348177</v>
      </c>
      <c r="U42" s="267">
        <v>2.759357836518245</v>
      </c>
      <c r="V42" s="232">
        <v>6072.1844632156381</v>
      </c>
      <c r="W42" s="232">
        <v>1476.8155367843617</v>
      </c>
      <c r="X42" s="232">
        <v>259.1083757993481</v>
      </c>
      <c r="Y42" s="232">
        <v>52.115163070981168</v>
      </c>
      <c r="Z42" s="233">
        <v>10903.851438362979</v>
      </c>
      <c r="AA42" s="232">
        <v>660.64856163702166</v>
      </c>
      <c r="AB42" s="232">
        <v>482.92961825557381</v>
      </c>
      <c r="AC42" s="232">
        <v>20.610946436177009</v>
      </c>
      <c r="AD42" s="233">
        <v>21517.197602572975</v>
      </c>
      <c r="AE42" s="232">
        <v>2280.3539805025625</v>
      </c>
      <c r="AF42" s="233">
        <v>1171.5340064850316</v>
      </c>
      <c r="AG42" s="248">
        <v>90.45597986788863</v>
      </c>
      <c r="AJ42" s="275">
        <v>2001</v>
      </c>
      <c r="AK42" s="276">
        <v>5553</v>
      </c>
      <c r="AL42" s="276">
        <v>17462</v>
      </c>
      <c r="AM42" s="276">
        <v>23015</v>
      </c>
      <c r="AN42" s="276">
        <v>1388</v>
      </c>
      <c r="AO42" s="276">
        <v>4787</v>
      </c>
      <c r="AP42" s="276">
        <v>6175</v>
      </c>
      <c r="AQ42" s="271"/>
      <c r="AR42" s="271"/>
      <c r="AS42" s="271"/>
      <c r="AT42" s="276">
        <v>1388</v>
      </c>
      <c r="AU42" s="276">
        <v>4787</v>
      </c>
      <c r="AV42" s="276">
        <v>6175</v>
      </c>
      <c r="AW42" s="276">
        <v>6941</v>
      </c>
      <c r="AX42" s="276">
        <v>22249</v>
      </c>
      <c r="AY42" s="277">
        <v>29190</v>
      </c>
    </row>
    <row r="43" spans="1:58" ht="15.6" x14ac:dyDescent="0.6">
      <c r="A43" s="276">
        <v>2112</v>
      </c>
      <c r="B43" s="66">
        <v>2009</v>
      </c>
      <c r="C43" s="67">
        <f t="shared" si="40"/>
        <v>29.480037341356383</v>
      </c>
      <c r="D43" s="67">
        <f t="shared" si="41"/>
        <v>26.237718127666419</v>
      </c>
      <c r="E43" s="67">
        <f>BonSThd!J48+BonSThd!K48</f>
        <v>14704</v>
      </c>
      <c r="F43" s="67">
        <v>2112</v>
      </c>
      <c r="G43" s="67">
        <f t="shared" si="42"/>
        <v>278.12312436637689</v>
      </c>
      <c r="H43" s="67">
        <f t="shared" si="43"/>
        <v>333.84087983539968</v>
      </c>
      <c r="I43" s="68">
        <f t="shared" si="44"/>
        <v>2.2704085951809009E-2</v>
      </c>
      <c r="J43" s="67">
        <f t="shared" si="45"/>
        <v>2112</v>
      </c>
      <c r="K43" s="69">
        <f t="shared" si="46"/>
        <v>0.14363438520130578</v>
      </c>
      <c r="M43" s="512">
        <v>2016</v>
      </c>
      <c r="N43" s="265">
        <v>457.504304671451</v>
      </c>
      <c r="O43" s="266">
        <v>71.551252805775036</v>
      </c>
      <c r="P43" s="266">
        <v>146.85276444829685</v>
      </c>
      <c r="Q43" s="267">
        <v>13.399889426098266</v>
      </c>
      <c r="R43" s="265">
        <v>1371.1219929587287</v>
      </c>
      <c r="S43" s="266">
        <v>490.87800704127147</v>
      </c>
      <c r="T43" s="266">
        <v>83.084849637173846</v>
      </c>
      <c r="U43" s="267">
        <v>3.2071794871794874</v>
      </c>
      <c r="V43" s="232">
        <v>2087.0937774116587</v>
      </c>
      <c r="W43" s="232">
        <v>2491.5062225883407</v>
      </c>
      <c r="X43" s="232">
        <v>51.591920093142015</v>
      </c>
      <c r="Y43" s="232">
        <v>16.938825173337374</v>
      </c>
      <c r="Z43" s="233">
        <v>3441.8077724419973</v>
      </c>
      <c r="AA43" s="232">
        <v>1862.0922275580024</v>
      </c>
      <c r="AB43" s="232">
        <v>70.217620531199074</v>
      </c>
      <c r="AC43" s="232">
        <v>14.384700734581543</v>
      </c>
      <c r="AD43" s="233">
        <v>7357.527847483836</v>
      </c>
      <c r="AE43" s="232">
        <v>4916.0277099933901</v>
      </c>
      <c r="AF43" s="233">
        <v>351.74715470981181</v>
      </c>
      <c r="AG43" s="248">
        <v>47.930594821196671</v>
      </c>
      <c r="AJ43" s="275">
        <v>2002</v>
      </c>
      <c r="AK43" s="276">
        <v>2370</v>
      </c>
      <c r="AL43" s="276">
        <v>6256</v>
      </c>
      <c r="AM43" s="276">
        <v>8626</v>
      </c>
      <c r="AN43" s="276">
        <v>1098</v>
      </c>
      <c r="AO43" s="276">
        <v>3756</v>
      </c>
      <c r="AP43" s="276">
        <v>4854</v>
      </c>
      <c r="AQ43" s="271"/>
      <c r="AR43" s="271"/>
      <c r="AS43" s="271"/>
      <c r="AT43" s="276">
        <v>1098</v>
      </c>
      <c r="AU43" s="276">
        <v>3756</v>
      </c>
      <c r="AV43" s="276">
        <v>4854</v>
      </c>
      <c r="AW43" s="276">
        <v>3468</v>
      </c>
      <c r="AX43" s="276">
        <v>10012</v>
      </c>
      <c r="AY43" s="277">
        <v>13480</v>
      </c>
    </row>
    <row r="44" spans="1:58" ht="15.6" x14ac:dyDescent="0.6">
      <c r="A44" s="276">
        <v>2992</v>
      </c>
      <c r="B44" s="66">
        <v>2010</v>
      </c>
      <c r="C44" s="67">
        <f t="shared" si="40"/>
        <v>76.791177839687265</v>
      </c>
      <c r="D44" s="67">
        <f t="shared" si="41"/>
        <v>63.545597140696863</v>
      </c>
      <c r="E44" s="67">
        <f>BonSThd!J49+BonSThd!K49</f>
        <v>22552</v>
      </c>
      <c r="F44" s="67">
        <v>2992</v>
      </c>
      <c r="G44" s="67">
        <f t="shared" si="42"/>
        <v>252.14297671701996</v>
      </c>
      <c r="H44" s="67">
        <f t="shared" si="43"/>
        <v>392.47975169740408</v>
      </c>
      <c r="I44" s="68">
        <f t="shared" si="44"/>
        <v>1.7403323505560665E-2</v>
      </c>
      <c r="J44" s="67">
        <f t="shared" si="45"/>
        <v>2992</v>
      </c>
      <c r="K44" s="69">
        <f t="shared" si="46"/>
        <v>0.13267115998581058</v>
      </c>
      <c r="M44" s="249"/>
      <c r="N44" s="250"/>
      <c r="O44" s="187"/>
      <c r="P44" s="187"/>
      <c r="Q44" s="251"/>
      <c r="R44" s="250"/>
      <c r="S44" s="187"/>
      <c r="T44" s="187"/>
      <c r="U44" s="251"/>
      <c r="V44" s="234"/>
      <c r="W44" s="234"/>
      <c r="X44" s="252"/>
      <c r="Y44" s="252"/>
      <c r="Z44" s="253"/>
      <c r="AA44" s="252"/>
      <c r="AB44" s="252"/>
      <c r="AC44" s="252"/>
      <c r="AD44" s="233"/>
      <c r="AE44" s="232"/>
      <c r="AF44" s="233"/>
      <c r="AG44" s="248"/>
      <c r="AJ44" s="275">
        <v>2003</v>
      </c>
      <c r="AK44" s="276">
        <v>1691</v>
      </c>
      <c r="AL44" s="276">
        <v>8788</v>
      </c>
      <c r="AM44" s="276">
        <v>10479</v>
      </c>
      <c r="AN44" s="278">
        <v>959</v>
      </c>
      <c r="AO44" s="276">
        <v>3457</v>
      </c>
      <c r="AP44" s="276">
        <v>4416</v>
      </c>
      <c r="AQ44" s="271"/>
      <c r="AR44" s="271"/>
      <c r="AS44" s="271"/>
      <c r="AT44" s="278">
        <v>959</v>
      </c>
      <c r="AU44" s="276">
        <v>3457</v>
      </c>
      <c r="AV44" s="276">
        <v>4416</v>
      </c>
      <c r="AW44" s="276">
        <v>2650</v>
      </c>
      <c r="AX44" s="276">
        <v>12245</v>
      </c>
      <c r="AY44" s="277">
        <v>14895</v>
      </c>
    </row>
    <row r="45" spans="1:58" ht="15.6" x14ac:dyDescent="0.6">
      <c r="A45" s="276">
        <v>2419</v>
      </c>
      <c r="B45" s="66">
        <v>2011</v>
      </c>
      <c r="C45" s="67">
        <f t="shared" si="40"/>
        <v>31.449864590095412</v>
      </c>
      <c r="D45" s="67">
        <f t="shared" si="41"/>
        <v>42.051361225966552</v>
      </c>
      <c r="E45" s="67">
        <f>BonSThd!J50+BonSThd!K50</f>
        <v>7400</v>
      </c>
      <c r="F45" s="67">
        <v>2419</v>
      </c>
      <c r="G45" s="67">
        <f t="shared" si="42"/>
        <v>96.085590779241073</v>
      </c>
      <c r="H45" s="67">
        <f t="shared" si="43"/>
        <v>169.58681659530305</v>
      </c>
      <c r="I45" s="68">
        <f t="shared" si="44"/>
        <v>2.2917137377743656E-2</v>
      </c>
      <c r="J45" s="67">
        <f t="shared" si="45"/>
        <v>2419</v>
      </c>
      <c r="K45" s="69">
        <f t="shared" si="46"/>
        <v>0.32689189189189188</v>
      </c>
      <c r="M45" s="254" t="s">
        <v>231</v>
      </c>
      <c r="N45" s="245">
        <f>AVERAGE(N35:N43)</f>
        <v>520.30108449552961</v>
      </c>
      <c r="O45" s="246">
        <f t="shared" ref="O45:AG45" si="47">AVERAGE(O35:O43)</f>
        <v>125.41668531126945</v>
      </c>
      <c r="P45" s="246">
        <f t="shared" si="47"/>
        <v>209.35155776376035</v>
      </c>
      <c r="Q45" s="247">
        <f t="shared" si="47"/>
        <v>32.28822358367092</v>
      </c>
      <c r="R45" s="245">
        <f t="shared" si="47"/>
        <v>5321.3362907449555</v>
      </c>
      <c r="S45" s="246">
        <f t="shared" si="47"/>
        <v>480.44148703282252</v>
      </c>
      <c r="T45" s="246">
        <f t="shared" si="47"/>
        <v>369.46290749533614</v>
      </c>
      <c r="U45" s="247">
        <f t="shared" si="47"/>
        <v>23.736206851814259</v>
      </c>
      <c r="V45" s="234">
        <f t="shared" si="47"/>
        <v>5068.3232997284367</v>
      </c>
      <c r="W45" s="234">
        <f t="shared" si="47"/>
        <v>1947.1850600558073</v>
      </c>
      <c r="X45" s="234">
        <f t="shared" si="47"/>
        <v>195.62199404804545</v>
      </c>
      <c r="Y45" s="234">
        <f t="shared" si="47"/>
        <v>80.550146563678652</v>
      </c>
      <c r="Z45" s="255">
        <f t="shared" si="47"/>
        <v>7837.4588195484057</v>
      </c>
      <c r="AA45" s="234">
        <f t="shared" si="47"/>
        <v>1769.6967360071492</v>
      </c>
      <c r="AB45" s="234">
        <f t="shared" si="47"/>
        <v>322.87143463035267</v>
      </c>
      <c r="AC45" s="234">
        <f t="shared" si="47"/>
        <v>50.445557080118355</v>
      </c>
      <c r="AD45" s="233">
        <f t="shared" si="47"/>
        <v>18747.419494517329</v>
      </c>
      <c r="AE45" s="232">
        <f t="shared" si="47"/>
        <v>4322.7399684070479</v>
      </c>
      <c r="AF45" s="233">
        <f t="shared" si="47"/>
        <v>1097.3078939374946</v>
      </c>
      <c r="AG45" s="256">
        <f t="shared" si="47"/>
        <v>187.0201340792822</v>
      </c>
      <c r="AJ45" s="275">
        <v>2004</v>
      </c>
      <c r="AK45" s="276">
        <v>1963</v>
      </c>
      <c r="AL45" s="276">
        <v>6791</v>
      </c>
      <c r="AM45" s="276">
        <v>8754</v>
      </c>
      <c r="AN45" s="276">
        <v>1040</v>
      </c>
      <c r="AO45" s="276">
        <v>4963</v>
      </c>
      <c r="AP45" s="276">
        <v>6003</v>
      </c>
      <c r="AQ45" s="271"/>
      <c r="AR45" s="271"/>
      <c r="AS45" s="278">
        <v>0</v>
      </c>
      <c r="AT45" s="276">
        <v>1040</v>
      </c>
      <c r="AU45" s="276">
        <v>4963</v>
      </c>
      <c r="AV45" s="276">
        <v>6003</v>
      </c>
      <c r="AW45" s="276">
        <v>3003</v>
      </c>
      <c r="AX45" s="276">
        <v>11754</v>
      </c>
      <c r="AY45" s="277">
        <v>14757</v>
      </c>
    </row>
    <row r="46" spans="1:58" ht="15.6" x14ac:dyDescent="0.6">
      <c r="A46" s="276">
        <v>1268</v>
      </c>
      <c r="B46" s="66">
        <v>2012</v>
      </c>
      <c r="C46" s="67">
        <f t="shared" si="40"/>
        <v>19.530504205062893</v>
      </c>
      <c r="D46" s="67">
        <f>U12</f>
        <v>38.667638746004279</v>
      </c>
      <c r="E46" s="67">
        <f>BonSThd!J51+BonSThd!K51</f>
        <v>10004</v>
      </c>
      <c r="F46" s="67">
        <v>1268</v>
      </c>
      <c r="G46" s="67">
        <f t="shared" si="42"/>
        <v>111.63018848668389</v>
      </c>
      <c r="H46" s="67">
        <f t="shared" si="43"/>
        <v>169.82833143775105</v>
      </c>
      <c r="I46" s="68">
        <f t="shared" si="44"/>
        <v>1.6976042726684432E-2</v>
      </c>
      <c r="J46" s="67">
        <f t="shared" si="45"/>
        <v>1268</v>
      </c>
      <c r="K46" s="69">
        <f t="shared" si="46"/>
        <v>0.12674930027988804</v>
      </c>
      <c r="M46" s="257" t="s">
        <v>232</v>
      </c>
      <c r="N46" s="258">
        <f t="shared" ref="N46:AG46" si="48">MAX(N35:N43)</f>
        <v>921.28693184735869</v>
      </c>
      <c r="O46" s="259">
        <f t="shared" si="48"/>
        <v>269.7606036177412</v>
      </c>
      <c r="P46" s="259">
        <f t="shared" si="48"/>
        <v>334.72546927751705</v>
      </c>
      <c r="Q46" s="260">
        <f t="shared" si="48"/>
        <v>76.791177839687265</v>
      </c>
      <c r="R46" s="258">
        <f t="shared" si="48"/>
        <v>11191.028220084429</v>
      </c>
      <c r="S46" s="259">
        <f t="shared" si="48"/>
        <v>953.84235899257476</v>
      </c>
      <c r="T46" s="259">
        <f t="shared" si="48"/>
        <v>730.84863877403347</v>
      </c>
      <c r="U46" s="260">
        <f t="shared" si="48"/>
        <v>63.545597140696863</v>
      </c>
      <c r="V46" s="234">
        <f t="shared" si="48"/>
        <v>8607.4978501843143</v>
      </c>
      <c r="W46" s="234">
        <f t="shared" si="48"/>
        <v>2936.0443213813728</v>
      </c>
      <c r="X46" s="234">
        <f t="shared" si="48"/>
        <v>286.30105982880775</v>
      </c>
      <c r="Y46" s="234">
        <f t="shared" si="48"/>
        <v>152.32888718345109</v>
      </c>
      <c r="Z46" s="261">
        <f t="shared" si="48"/>
        <v>19653.397297355241</v>
      </c>
      <c r="AA46" s="234">
        <f t="shared" si="48"/>
        <v>3040.1027026447591</v>
      </c>
      <c r="AB46" s="234">
        <f t="shared" si="48"/>
        <v>600.05390176510605</v>
      </c>
      <c r="AC46" s="234">
        <f t="shared" si="48"/>
        <v>125.7942371829258</v>
      </c>
      <c r="AD46" s="262">
        <f t="shared" si="48"/>
        <v>36050.150283167095</v>
      </c>
      <c r="AE46" s="263">
        <f t="shared" si="48"/>
        <v>6400.734354222307</v>
      </c>
      <c r="AF46" s="262">
        <f t="shared" si="48"/>
        <v>1610.4643649825355</v>
      </c>
      <c r="AG46" s="264">
        <f t="shared" si="48"/>
        <v>392.47975169740408</v>
      </c>
      <c r="AJ46" s="275">
        <v>2005</v>
      </c>
      <c r="AK46" s="276">
        <v>2239</v>
      </c>
      <c r="AL46" s="276">
        <v>6339</v>
      </c>
      <c r="AM46" s="276">
        <v>8578</v>
      </c>
      <c r="AN46" s="276">
        <v>1181</v>
      </c>
      <c r="AO46" s="276">
        <v>3930</v>
      </c>
      <c r="AP46" s="276">
        <v>5111</v>
      </c>
      <c r="AQ46" s="271"/>
      <c r="AR46" s="271"/>
      <c r="AS46" s="278">
        <v>0</v>
      </c>
      <c r="AT46" s="276">
        <v>1181</v>
      </c>
      <c r="AU46" s="276">
        <v>3930</v>
      </c>
      <c r="AV46" s="276">
        <v>5111</v>
      </c>
      <c r="AW46" s="276">
        <v>3420</v>
      </c>
      <c r="AX46" s="276">
        <v>10269</v>
      </c>
      <c r="AY46" s="277">
        <v>13689</v>
      </c>
    </row>
    <row r="47" spans="1:58" ht="15.6" x14ac:dyDescent="0.6">
      <c r="A47" s="278">
        <v>510</v>
      </c>
      <c r="B47" s="66">
        <v>2013</v>
      </c>
      <c r="C47" s="67">
        <f t="shared" si="40"/>
        <v>11.237616395384823</v>
      </c>
      <c r="D47" s="67">
        <f t="shared" si="41"/>
        <v>2.5808970597895891</v>
      </c>
      <c r="E47" s="67">
        <f>BonSThd!J52+BonSThd!K52</f>
        <v>3260</v>
      </c>
      <c r="F47" s="67">
        <v>510</v>
      </c>
      <c r="G47" s="67">
        <f t="shared" si="42"/>
        <v>83.422152078187452</v>
      </c>
      <c r="H47" s="67">
        <f t="shared" si="43"/>
        <v>97.240665533361863</v>
      </c>
      <c r="I47" s="68">
        <f t="shared" si="44"/>
        <v>2.9828425010233701E-2</v>
      </c>
      <c r="J47" s="67">
        <f t="shared" si="45"/>
        <v>510</v>
      </c>
      <c r="K47" s="69">
        <f t="shared" si="46"/>
        <v>0.15644171779141106</v>
      </c>
      <c r="M47" s="715" t="s">
        <v>233</v>
      </c>
      <c r="N47" s="716"/>
      <c r="O47" s="716"/>
      <c r="P47" s="716"/>
      <c r="Q47" s="716"/>
      <c r="R47" s="716"/>
      <c r="S47" s="716"/>
      <c r="T47" s="716"/>
      <c r="U47" s="716"/>
      <c r="V47" s="716"/>
      <c r="W47" s="716"/>
      <c r="X47" s="716"/>
      <c r="Y47" s="716"/>
      <c r="Z47" s="716"/>
      <c r="AA47" s="716"/>
      <c r="AB47" s="716"/>
      <c r="AC47" s="716"/>
      <c r="AD47" s="717"/>
      <c r="AE47" s="717"/>
      <c r="AF47" s="717"/>
      <c r="AG47" s="718"/>
      <c r="AJ47" s="275">
        <v>2006</v>
      </c>
      <c r="AK47" s="276">
        <v>3048</v>
      </c>
      <c r="AL47" s="276">
        <v>8103</v>
      </c>
      <c r="AM47" s="276">
        <v>11151</v>
      </c>
      <c r="AN47" s="276">
        <v>1351</v>
      </c>
      <c r="AO47" s="276">
        <v>7039</v>
      </c>
      <c r="AP47" s="276">
        <v>8390</v>
      </c>
      <c r="AQ47" s="271"/>
      <c r="AR47" s="271"/>
      <c r="AS47" s="278">
        <v>0</v>
      </c>
      <c r="AT47" s="276">
        <v>1351</v>
      </c>
      <c r="AU47" s="276">
        <v>7039</v>
      </c>
      <c r="AV47" s="276">
        <v>8390</v>
      </c>
      <c r="AW47" s="276">
        <v>4399</v>
      </c>
      <c r="AX47" s="276">
        <v>15142</v>
      </c>
      <c r="AY47" s="277">
        <v>19541</v>
      </c>
    </row>
    <row r="48" spans="1:58" ht="15.6" x14ac:dyDescent="0.6">
      <c r="A48" s="276">
        <v>2111</v>
      </c>
      <c r="B48" s="66">
        <v>2014</v>
      </c>
      <c r="C48" s="67">
        <f t="shared" si="40"/>
        <v>30.569233951251015</v>
      </c>
      <c r="D48" s="67">
        <f t="shared" si="41"/>
        <v>12.608152391207319</v>
      </c>
      <c r="E48" s="67">
        <f>BonSThd!J53+BonSThd!K53</f>
        <v>12904</v>
      </c>
      <c r="F48" s="67">
        <v>2111</v>
      </c>
      <c r="G48" s="67">
        <f t="shared" si="42"/>
        <v>109.17620917971209</v>
      </c>
      <c r="H48" s="67">
        <f t="shared" ref="H48:H50" si="49">C48+D48+G48</f>
        <v>152.35359552217042</v>
      </c>
      <c r="I48" s="68">
        <f t="shared" ref="I48:I49" si="50">H48/E48</f>
        <v>1.1806695251253132E-2</v>
      </c>
      <c r="J48" s="67">
        <f t="shared" ref="J48:J49" si="51">F48</f>
        <v>2111</v>
      </c>
      <c r="K48" s="69">
        <f t="shared" ref="K48:K49" si="52">J48/E48</f>
        <v>0.16359268443893366</v>
      </c>
      <c r="M48" s="719" t="s">
        <v>234</v>
      </c>
      <c r="N48" s="720"/>
      <c r="O48" s="720"/>
      <c r="P48" s="720"/>
      <c r="Q48" s="720"/>
      <c r="R48" s="720"/>
      <c r="S48" s="720"/>
      <c r="T48" s="720"/>
      <c r="U48" s="720"/>
      <c r="V48" s="720"/>
      <c r="W48" s="720"/>
      <c r="X48" s="720"/>
      <c r="Y48" s="720"/>
      <c r="Z48" s="720"/>
      <c r="AA48" s="720"/>
      <c r="AB48" s="720"/>
      <c r="AC48" s="720"/>
      <c r="AD48" s="720"/>
      <c r="AE48" s="720"/>
      <c r="AF48" s="720"/>
      <c r="AG48" s="721"/>
      <c r="AJ48" s="275">
        <v>2007</v>
      </c>
      <c r="AK48" s="276">
        <v>2747</v>
      </c>
      <c r="AL48" s="276">
        <v>9519</v>
      </c>
      <c r="AM48" s="276">
        <v>12266</v>
      </c>
      <c r="AN48" s="276">
        <v>1050</v>
      </c>
      <c r="AO48" s="276">
        <v>6142</v>
      </c>
      <c r="AP48" s="276">
        <v>7192</v>
      </c>
      <c r="AQ48" s="271"/>
      <c r="AR48" s="271"/>
      <c r="AS48" s="278">
        <v>0</v>
      </c>
      <c r="AT48" s="276">
        <v>1050</v>
      </c>
      <c r="AU48" s="276">
        <v>6142</v>
      </c>
      <c r="AV48" s="276">
        <v>7192</v>
      </c>
      <c r="AW48" s="276">
        <v>3797</v>
      </c>
      <c r="AX48" s="276">
        <v>15661</v>
      </c>
      <c r="AY48" s="277">
        <v>19458</v>
      </c>
    </row>
    <row r="49" spans="1:51" ht="15.6" x14ac:dyDescent="0.6">
      <c r="A49" s="278">
        <v>802</v>
      </c>
      <c r="B49" s="66">
        <v>2015</v>
      </c>
      <c r="C49" s="67">
        <f t="shared" si="40"/>
        <v>14.970512524212193</v>
      </c>
      <c r="D49" s="67">
        <f t="shared" si="41"/>
        <v>2.759357836518245</v>
      </c>
      <c r="E49" s="67">
        <f>BonSThd!J54+BonSThd!K54</f>
        <v>5580</v>
      </c>
      <c r="F49" s="67">
        <v>802</v>
      </c>
      <c r="G49" s="67">
        <f t="shared" si="42"/>
        <v>72.726109507158185</v>
      </c>
      <c r="H49" s="67">
        <f t="shared" si="49"/>
        <v>90.45597986788863</v>
      </c>
      <c r="I49" s="68">
        <f t="shared" si="50"/>
        <v>1.6210749080266779E-2</v>
      </c>
      <c r="J49" s="67">
        <f t="shared" si="51"/>
        <v>802</v>
      </c>
      <c r="K49" s="69">
        <f t="shared" si="52"/>
        <v>0.14372759856630823</v>
      </c>
      <c r="M49" s="700" t="s">
        <v>235</v>
      </c>
      <c r="N49" s="701"/>
      <c r="O49" s="701"/>
      <c r="P49" s="701"/>
      <c r="Q49" s="701"/>
      <c r="R49" s="701"/>
      <c r="S49" s="701"/>
      <c r="T49" s="701"/>
      <c r="U49" s="701"/>
      <c r="V49" s="701"/>
      <c r="W49" s="701"/>
      <c r="X49" s="701"/>
      <c r="Y49" s="701"/>
      <c r="Z49" s="701"/>
      <c r="AA49" s="701"/>
      <c r="AB49" s="701"/>
      <c r="AC49" s="701"/>
      <c r="AD49" s="701"/>
      <c r="AE49" s="701"/>
      <c r="AF49" s="701"/>
      <c r="AG49" s="702"/>
      <c r="AJ49" s="275">
        <v>2008</v>
      </c>
      <c r="AK49" s="276">
        <v>3645</v>
      </c>
      <c r="AL49" s="276">
        <v>8503</v>
      </c>
      <c r="AM49" s="276">
        <v>12148</v>
      </c>
      <c r="AN49" s="276">
        <v>2673</v>
      </c>
      <c r="AO49" s="276">
        <v>11518</v>
      </c>
      <c r="AP49" s="276">
        <v>14191</v>
      </c>
      <c r="AQ49" s="271"/>
      <c r="AR49" s="271"/>
      <c r="AS49" s="278">
        <v>0</v>
      </c>
      <c r="AT49" s="276">
        <v>2673</v>
      </c>
      <c r="AU49" s="276">
        <v>11518</v>
      </c>
      <c r="AV49" s="276">
        <v>14191</v>
      </c>
      <c r="AW49" s="276">
        <v>6318</v>
      </c>
      <c r="AX49" s="276">
        <v>20021</v>
      </c>
      <c r="AY49" s="277">
        <v>26339</v>
      </c>
    </row>
    <row r="50" spans="1:51" ht="15.9" thickBot="1" x14ac:dyDescent="0.65">
      <c r="A50" s="279">
        <v>1347</v>
      </c>
      <c r="B50" s="66">
        <v>2016</v>
      </c>
      <c r="C50" s="67">
        <f t="shared" si="40"/>
        <v>13.399889426098266</v>
      </c>
      <c r="D50" s="67">
        <f t="shared" si="41"/>
        <v>3.2071794871794874</v>
      </c>
      <c r="E50" s="67">
        <f>BonSThd!J55+BonSThd!K55</f>
        <v>9077</v>
      </c>
      <c r="F50" s="67">
        <v>1347</v>
      </c>
      <c r="G50" s="67">
        <f t="shared" si="42"/>
        <v>31.323525907918917</v>
      </c>
      <c r="H50" s="67">
        <f t="shared" si="49"/>
        <v>47.930594821196671</v>
      </c>
      <c r="I50" s="68">
        <f>H50/E50</f>
        <v>5.280444510432596E-3</v>
      </c>
      <c r="J50" s="67">
        <f t="shared" ref="J50" si="53">F50</f>
        <v>1347</v>
      </c>
      <c r="K50" s="69">
        <f t="shared" ref="K50" si="54">J50/E50</f>
        <v>0.14839704748264845</v>
      </c>
      <c r="AJ50" s="275">
        <v>2009</v>
      </c>
      <c r="AK50" s="276">
        <v>7948</v>
      </c>
      <c r="AL50" s="276">
        <v>21340</v>
      </c>
      <c r="AM50" s="276">
        <v>29288</v>
      </c>
      <c r="AN50" s="276">
        <v>2112</v>
      </c>
      <c r="AO50" s="276">
        <v>5354</v>
      </c>
      <c r="AP50" s="276">
        <v>7466</v>
      </c>
      <c r="AQ50" s="271"/>
      <c r="AR50" s="271"/>
      <c r="AS50" s="278">
        <v>0</v>
      </c>
      <c r="AT50" s="276">
        <v>2112</v>
      </c>
      <c r="AU50" s="276">
        <v>5354</v>
      </c>
      <c r="AV50" s="276">
        <v>7466</v>
      </c>
      <c r="AW50" s="276">
        <v>10060</v>
      </c>
      <c r="AX50" s="276">
        <v>26694</v>
      </c>
      <c r="AY50" s="277">
        <v>36754</v>
      </c>
    </row>
    <row r="51" spans="1:51" ht="15.6" x14ac:dyDescent="0.6">
      <c r="B51" s="66"/>
      <c r="C51" s="167"/>
      <c r="D51" s="168"/>
      <c r="E51" s="67"/>
      <c r="F51" s="67"/>
      <c r="G51" s="168"/>
      <c r="H51" s="67"/>
      <c r="I51" s="68"/>
      <c r="J51" s="67"/>
      <c r="K51" s="69"/>
      <c r="AJ51" s="275">
        <v>2010</v>
      </c>
      <c r="AK51" s="276">
        <v>4816</v>
      </c>
      <c r="AL51" s="276">
        <v>9835</v>
      </c>
      <c r="AM51" s="276">
        <v>14651</v>
      </c>
      <c r="AN51" s="276">
        <v>2992</v>
      </c>
      <c r="AO51" s="276">
        <v>9809</v>
      </c>
      <c r="AP51" s="276">
        <v>12801</v>
      </c>
      <c r="AQ51" s="271"/>
      <c r="AR51" s="271"/>
      <c r="AS51" s="278">
        <v>0</v>
      </c>
      <c r="AT51" s="276">
        <v>2992</v>
      </c>
      <c r="AU51" s="276">
        <v>9809</v>
      </c>
      <c r="AV51" s="276">
        <v>12801</v>
      </c>
      <c r="AW51" s="276">
        <v>7808</v>
      </c>
      <c r="AX51" s="276">
        <v>19644</v>
      </c>
      <c r="AY51" s="277">
        <v>27452</v>
      </c>
    </row>
    <row r="52" spans="1:51" ht="15.6" x14ac:dyDescent="0.6">
      <c r="B52" s="66"/>
      <c r="C52" s="167"/>
      <c r="D52" s="168"/>
      <c r="E52" s="67"/>
      <c r="F52" s="67"/>
      <c r="G52" s="168"/>
      <c r="H52" s="67"/>
      <c r="I52" s="68"/>
      <c r="J52" s="67"/>
      <c r="K52" s="69"/>
      <c r="AJ52" s="275">
        <v>2011</v>
      </c>
      <c r="AK52" s="276">
        <v>6876</v>
      </c>
      <c r="AL52" s="276">
        <v>12657</v>
      </c>
      <c r="AM52" s="276">
        <v>19533</v>
      </c>
      <c r="AN52" s="276">
        <v>2419</v>
      </c>
      <c r="AO52" s="276">
        <v>5547</v>
      </c>
      <c r="AP52" s="276">
        <v>7966</v>
      </c>
      <c r="AQ52" s="271"/>
      <c r="AR52" s="271"/>
      <c r="AS52" s="278">
        <v>0</v>
      </c>
      <c r="AT52" s="276">
        <v>2419</v>
      </c>
      <c r="AU52" s="276">
        <v>5547</v>
      </c>
      <c r="AV52" s="276">
        <v>7966</v>
      </c>
      <c r="AW52" s="276">
        <v>9295</v>
      </c>
      <c r="AX52" s="276">
        <v>18204</v>
      </c>
      <c r="AY52" s="277">
        <v>27499</v>
      </c>
    </row>
    <row r="53" spans="1:51" x14ac:dyDescent="0.5">
      <c r="B53" s="743" t="s">
        <v>236</v>
      </c>
      <c r="C53" s="744"/>
      <c r="D53" s="744"/>
      <c r="E53" s="744"/>
      <c r="F53" s="744"/>
      <c r="G53" s="744"/>
      <c r="H53" s="744"/>
      <c r="I53" s="744"/>
      <c r="J53" s="744"/>
      <c r="K53" s="745"/>
      <c r="AJ53" s="275">
        <v>2012</v>
      </c>
      <c r="AK53" s="276">
        <v>4225</v>
      </c>
      <c r="AL53" s="276">
        <v>7256</v>
      </c>
      <c r="AM53" s="276">
        <v>11481</v>
      </c>
      <c r="AN53" s="276">
        <v>1252</v>
      </c>
      <c r="AO53" s="276">
        <v>2413</v>
      </c>
      <c r="AP53" s="276">
        <v>3665</v>
      </c>
      <c r="AQ53" s="278">
        <v>16</v>
      </c>
      <c r="AR53" s="278">
        <v>49</v>
      </c>
      <c r="AS53" s="278">
        <v>65</v>
      </c>
      <c r="AT53" s="276">
        <v>1268</v>
      </c>
      <c r="AU53" s="276">
        <v>2462</v>
      </c>
      <c r="AV53" s="276">
        <v>3730</v>
      </c>
      <c r="AW53" s="276">
        <v>5493</v>
      </c>
      <c r="AX53" s="276">
        <v>9718</v>
      </c>
      <c r="AY53" s="277">
        <v>15211</v>
      </c>
    </row>
    <row r="54" spans="1:51" x14ac:dyDescent="0.5">
      <c r="B54" s="163"/>
      <c r="C54" s="164" t="s">
        <v>237</v>
      </c>
      <c r="D54" s="164"/>
      <c r="E54" s="164"/>
      <c r="F54" s="164"/>
      <c r="G54" s="164"/>
      <c r="H54" s="164"/>
      <c r="I54" s="164"/>
      <c r="J54" s="164"/>
      <c r="K54" s="165"/>
      <c r="AJ54" s="275">
        <v>2013</v>
      </c>
      <c r="AK54" s="276">
        <v>6149</v>
      </c>
      <c r="AL54" s="276">
        <v>9401</v>
      </c>
      <c r="AM54" s="276">
        <v>15549</v>
      </c>
      <c r="AN54" s="278">
        <v>510</v>
      </c>
      <c r="AO54" s="276">
        <v>1097</v>
      </c>
      <c r="AP54" s="276">
        <v>1607</v>
      </c>
      <c r="AQ54" s="278">
        <v>0</v>
      </c>
      <c r="AR54" s="278">
        <v>0</v>
      </c>
      <c r="AS54" s="278">
        <v>0</v>
      </c>
      <c r="AT54" s="278">
        <v>510</v>
      </c>
      <c r="AU54" s="276">
        <v>1097</v>
      </c>
      <c r="AV54" s="276">
        <v>1607</v>
      </c>
      <c r="AW54" s="276">
        <v>6659</v>
      </c>
      <c r="AX54" s="276">
        <v>10497</v>
      </c>
      <c r="AY54" s="277">
        <v>17156</v>
      </c>
    </row>
    <row r="55" spans="1:51" ht="21.6" x14ac:dyDescent="0.5">
      <c r="B55" s="157" t="s">
        <v>55</v>
      </c>
      <c r="C55" s="158" t="s">
        <v>192</v>
      </c>
      <c r="D55" s="158" t="s">
        <v>193</v>
      </c>
      <c r="E55" s="158" t="s">
        <v>194</v>
      </c>
      <c r="F55" s="158" t="s">
        <v>75</v>
      </c>
      <c r="G55" s="158" t="s">
        <v>195</v>
      </c>
      <c r="H55" s="158" t="s">
        <v>91</v>
      </c>
      <c r="I55" s="158" t="s">
        <v>196</v>
      </c>
      <c r="J55" s="158" t="s">
        <v>92</v>
      </c>
      <c r="K55" s="159" t="s">
        <v>197</v>
      </c>
      <c r="AJ55" s="275">
        <v>2014</v>
      </c>
      <c r="AK55" s="276">
        <v>8453</v>
      </c>
      <c r="AL55" s="276">
        <v>11143</v>
      </c>
      <c r="AM55" s="276">
        <v>19596</v>
      </c>
      <c r="AN55" s="276">
        <v>2062</v>
      </c>
      <c r="AO55" s="276">
        <v>3644</v>
      </c>
      <c r="AP55" s="276">
        <v>5706</v>
      </c>
      <c r="AQ55" s="278">
        <v>49</v>
      </c>
      <c r="AR55" s="278">
        <v>109</v>
      </c>
      <c r="AS55" s="278">
        <v>158</v>
      </c>
      <c r="AT55" s="276">
        <v>2111</v>
      </c>
      <c r="AU55" s="276">
        <v>3753</v>
      </c>
      <c r="AV55" s="276">
        <v>5864</v>
      </c>
      <c r="AW55" s="276">
        <v>10564</v>
      </c>
      <c r="AX55" s="276">
        <v>14897</v>
      </c>
      <c r="AY55" s="277">
        <v>25461</v>
      </c>
    </row>
    <row r="56" spans="1:51" x14ac:dyDescent="0.5">
      <c r="B56" s="66">
        <v>2008</v>
      </c>
      <c r="C56" s="67">
        <f t="shared" ref="C56:G63" si="55">C30+C42</f>
        <v>332.92577959763122</v>
      </c>
      <c r="D56" s="67">
        <f t="shared" si="55"/>
        <v>584.19217538441092</v>
      </c>
      <c r="E56" s="67">
        <f>BonSThd!I47+BonSThd!J47+BonSThd!K47</f>
        <v>96334</v>
      </c>
      <c r="F56" s="67">
        <f t="shared" si="55"/>
        <v>14191</v>
      </c>
      <c r="G56" s="67">
        <f t="shared" si="55"/>
        <v>5007.1411609760398</v>
      </c>
      <c r="H56" s="67">
        <f t="shared" ref="H56:H62" si="56">C56+D56+G56</f>
        <v>5924.2591159580825</v>
      </c>
      <c r="I56" s="68">
        <f t="shared" ref="I56:I62" si="57">H56/E56</f>
        <v>6.1497073888326891E-2</v>
      </c>
      <c r="J56" s="67">
        <f t="shared" ref="J56:J62" si="58">F56</f>
        <v>14191</v>
      </c>
      <c r="K56" s="69">
        <f t="shared" ref="K56:K62" si="59">J56/E56</f>
        <v>0.14731039923599146</v>
      </c>
      <c r="AJ56" s="275">
        <v>2015</v>
      </c>
      <c r="AK56" s="276">
        <v>5384</v>
      </c>
      <c r="AL56" s="276">
        <v>8901</v>
      </c>
      <c r="AM56" s="276">
        <v>14285</v>
      </c>
      <c r="AN56" s="278">
        <v>796</v>
      </c>
      <c r="AO56" s="276">
        <v>1451</v>
      </c>
      <c r="AP56" s="276">
        <v>2247</v>
      </c>
      <c r="AQ56" s="278">
        <v>6</v>
      </c>
      <c r="AR56" s="278">
        <v>33</v>
      </c>
      <c r="AS56" s="278">
        <v>39</v>
      </c>
      <c r="AT56" s="278">
        <v>802</v>
      </c>
      <c r="AU56" s="276">
        <v>1484</v>
      </c>
      <c r="AV56" s="276">
        <v>2286</v>
      </c>
      <c r="AW56" s="276">
        <v>6186</v>
      </c>
      <c r="AX56" s="276">
        <v>10385</v>
      </c>
      <c r="AY56" s="277">
        <v>16571</v>
      </c>
    </row>
    <row r="57" spans="1:51" ht="12.75" customHeight="1" thickBot="1" x14ac:dyDescent="0.55000000000000004">
      <c r="B57" s="66">
        <v>2009</v>
      </c>
      <c r="C57" s="67">
        <f t="shared" si="55"/>
        <v>97.247836044338584</v>
      </c>
      <c r="D57" s="67">
        <f t="shared" si="55"/>
        <v>301.8393258251981</v>
      </c>
      <c r="E57" s="67">
        <f>BonSThd!I48+BonSThd!J48+BonSThd!K48</f>
        <v>43538</v>
      </c>
      <c r="F57" s="67">
        <f t="shared" si="55"/>
        <v>7466</v>
      </c>
      <c r="G57" s="67">
        <f t="shared" si="55"/>
        <v>6254.2701483925084</v>
      </c>
      <c r="H57" s="67">
        <f t="shared" si="56"/>
        <v>6653.3573102620448</v>
      </c>
      <c r="I57" s="68">
        <f t="shared" si="57"/>
        <v>0.15281724723832157</v>
      </c>
      <c r="J57" s="67">
        <f t="shared" si="58"/>
        <v>7466</v>
      </c>
      <c r="K57" s="69">
        <f t="shared" si="59"/>
        <v>0.17148238320547568</v>
      </c>
      <c r="AJ57" s="272">
        <v>2016</v>
      </c>
      <c r="AK57" s="279">
        <v>3141</v>
      </c>
      <c r="AL57" s="279">
        <v>6164</v>
      </c>
      <c r="AM57" s="279">
        <v>9305</v>
      </c>
      <c r="AN57" s="279">
        <v>1347</v>
      </c>
      <c r="AO57" s="279">
        <v>2897</v>
      </c>
      <c r="AP57" s="279">
        <v>4244</v>
      </c>
      <c r="AQ57" s="280">
        <v>0</v>
      </c>
      <c r="AR57" s="280">
        <v>0</v>
      </c>
      <c r="AS57" s="280">
        <v>0</v>
      </c>
      <c r="AT57" s="279">
        <v>1347</v>
      </c>
      <c r="AU57" s="279">
        <v>2897</v>
      </c>
      <c r="AV57" s="279">
        <v>4244</v>
      </c>
      <c r="AW57" s="279">
        <v>4488</v>
      </c>
      <c r="AX57" s="279">
        <v>9061</v>
      </c>
      <c r="AY57" s="281">
        <v>13549</v>
      </c>
    </row>
    <row r="58" spans="1:51" x14ac:dyDescent="0.5">
      <c r="B58" s="66">
        <v>2010</v>
      </c>
      <c r="C58" s="67">
        <f t="shared" si="55"/>
        <v>286.98535917885465</v>
      </c>
      <c r="D58" s="67">
        <f t="shared" si="55"/>
        <v>1017.3879561332716</v>
      </c>
      <c r="E58" s="67">
        <f>BonSThd!I49+BonSThd!J49+BonSThd!K49</f>
        <v>82625</v>
      </c>
      <c r="F58" s="67">
        <f t="shared" si="55"/>
        <v>12801</v>
      </c>
      <c r="G58" s="67">
        <f t="shared" si="55"/>
        <v>5488.8407906075854</v>
      </c>
      <c r="H58" s="67">
        <f t="shared" si="56"/>
        <v>6793.2141059197111</v>
      </c>
      <c r="I58" s="68">
        <f t="shared" si="57"/>
        <v>8.2217417318241587E-2</v>
      </c>
      <c r="J58" s="67">
        <f t="shared" si="58"/>
        <v>12801</v>
      </c>
      <c r="K58" s="69">
        <f t="shared" si="59"/>
        <v>0.15492889561270801</v>
      </c>
    </row>
    <row r="59" spans="1:51" x14ac:dyDescent="0.5">
      <c r="B59" s="66">
        <v>2011</v>
      </c>
      <c r="C59" s="67">
        <f t="shared" si="55"/>
        <v>266.98255770935424</v>
      </c>
      <c r="D59" s="67">
        <f t="shared" si="55"/>
        <v>904.02314114153705</v>
      </c>
      <c r="E59" s="67">
        <f>BonSThd!I50+BonSThd!J50+BonSThd!K50</f>
        <v>31873</v>
      </c>
      <c r="F59" s="67">
        <f t="shared" si="55"/>
        <v>7966</v>
      </c>
      <c r="G59" s="67">
        <f t="shared" si="55"/>
        <v>3002.8487392773159</v>
      </c>
      <c r="H59" s="67">
        <f t="shared" si="56"/>
        <v>4173.8544381282072</v>
      </c>
      <c r="I59" s="68">
        <f t="shared" si="57"/>
        <v>0.13095266959897742</v>
      </c>
      <c r="J59" s="67">
        <f t="shared" si="58"/>
        <v>7966</v>
      </c>
      <c r="K59" s="69">
        <f t="shared" si="59"/>
        <v>0.24992940733536223</v>
      </c>
    </row>
    <row r="60" spans="1:51" x14ac:dyDescent="0.5">
      <c r="B60" s="66">
        <v>2012</v>
      </c>
      <c r="C60" s="67">
        <f t="shared" si="55"/>
        <v>84.850916637885035</v>
      </c>
      <c r="D60" s="67">
        <f t="shared" si="55"/>
        <v>530.69612372485096</v>
      </c>
      <c r="E60" s="67">
        <f>BonSThd!I51+BonSThd!J51+BonSThd!K51</f>
        <v>28468</v>
      </c>
      <c r="F60" s="67">
        <f t="shared" si="55"/>
        <v>3730</v>
      </c>
      <c r="G60" s="67">
        <f t="shared" si="55"/>
        <v>3654.1057357339428</v>
      </c>
      <c r="H60" s="67">
        <f t="shared" si="56"/>
        <v>4269.6527760966783</v>
      </c>
      <c r="I60" s="68">
        <f t="shared" si="57"/>
        <v>0.14998077757821687</v>
      </c>
      <c r="J60" s="67">
        <f t="shared" si="58"/>
        <v>3730</v>
      </c>
      <c r="K60" s="69">
        <f t="shared" si="59"/>
        <v>0.13102430799494169</v>
      </c>
    </row>
    <row r="61" spans="1:51" x14ac:dyDescent="0.5">
      <c r="B61" s="66">
        <v>2013</v>
      </c>
      <c r="C61" s="67">
        <f t="shared" si="55"/>
        <v>45.682732868829987</v>
      </c>
      <c r="D61" s="67">
        <f t="shared" si="55"/>
        <v>96.737516396464358</v>
      </c>
      <c r="E61" s="67">
        <f>BonSThd!I52+BonSThd!J52+BonSThd!K52</f>
        <v>11608</v>
      </c>
      <c r="F61" s="67">
        <f t="shared" si="55"/>
        <v>1607</v>
      </c>
      <c r="G61" s="67">
        <f t="shared" si="55"/>
        <v>1357.2248188114995</v>
      </c>
      <c r="H61" s="67">
        <f t="shared" si="56"/>
        <v>1499.6450680767939</v>
      </c>
      <c r="I61" s="68">
        <f t="shared" si="57"/>
        <v>0.12919065024782855</v>
      </c>
      <c r="J61" s="67">
        <f t="shared" si="58"/>
        <v>1607</v>
      </c>
      <c r="K61" s="69">
        <f t="shared" si="59"/>
        <v>0.13843900758097863</v>
      </c>
    </row>
    <row r="62" spans="1:51" x14ac:dyDescent="0.5">
      <c r="B62" s="66">
        <v>2014</v>
      </c>
      <c r="C62" s="67">
        <f t="shared" si="55"/>
        <v>149.80448310889315</v>
      </c>
      <c r="D62" s="67">
        <f t="shared" si="55"/>
        <v>517.93144006244017</v>
      </c>
      <c r="E62" s="67">
        <f>BonSThd!I53+BonSThd!J53+BonSThd!K53</f>
        <v>43731</v>
      </c>
      <c r="F62" s="67">
        <f t="shared" si="55"/>
        <v>5864</v>
      </c>
      <c r="G62" s="67">
        <f t="shared" si="55"/>
        <v>3271.353919579084</v>
      </c>
      <c r="H62" s="67">
        <f t="shared" si="56"/>
        <v>3939.0898427504171</v>
      </c>
      <c r="I62" s="68">
        <f t="shared" si="57"/>
        <v>9.0075457747374105E-2</v>
      </c>
      <c r="J62" s="67">
        <f t="shared" si="58"/>
        <v>5864</v>
      </c>
      <c r="K62" s="69">
        <f t="shared" si="59"/>
        <v>0.13409252018019255</v>
      </c>
    </row>
    <row r="63" spans="1:51" x14ac:dyDescent="0.5">
      <c r="B63" s="66">
        <v>2015</v>
      </c>
      <c r="C63" s="67">
        <f>C37+C49</f>
        <v>69.913372676803093</v>
      </c>
      <c r="D63" s="67">
        <f t="shared" si="55"/>
        <v>90.706379765106576</v>
      </c>
      <c r="E63" s="67">
        <f>BonSThd!I54+BonSThd!J54+BonSThd!K54</f>
        <v>15170</v>
      </c>
      <c r="F63" s="67">
        <f>F37+F49</f>
        <v>2286</v>
      </c>
      <c r="G63" s="67">
        <f t="shared" si="55"/>
        <v>2210.1902079285414</v>
      </c>
      <c r="H63" s="67">
        <f>C63+D63+G63</f>
        <v>2370.8099603704513</v>
      </c>
      <c r="I63" s="68">
        <f t="shared" ref="I63" si="60">H63/E63</f>
        <v>0.15628279237774895</v>
      </c>
      <c r="J63" s="67">
        <f t="shared" ref="J63" si="61">F63</f>
        <v>2286</v>
      </c>
      <c r="K63" s="69">
        <f t="shared" ref="K63" si="62">J63/E63</f>
        <v>0.15069215557020435</v>
      </c>
    </row>
    <row r="64" spans="1:51" x14ac:dyDescent="0.5">
      <c r="B64" s="66">
        <v>2016</v>
      </c>
      <c r="C64" s="67">
        <f>C38+C50</f>
        <v>84.951142231873305</v>
      </c>
      <c r="D64" s="67">
        <f>D38+D50</f>
        <v>494.08518652845095</v>
      </c>
      <c r="E64" s="67">
        <f>BonSThd!I55+BonSThd!J55+BonSThd!K55</f>
        <v>42916</v>
      </c>
      <c r="F64" s="67">
        <f>F38+F50</f>
        <v>4244</v>
      </c>
      <c r="G64" s="67">
        <f>G38+G50</f>
        <v>4384.9219760542619</v>
      </c>
      <c r="H64" s="67">
        <f>C64+D64+G64</f>
        <v>4963.958304814586</v>
      </c>
      <c r="I64" s="68">
        <f>H64/E64</f>
        <v>0.11566684464569359</v>
      </c>
      <c r="J64" s="67">
        <f>F64</f>
        <v>4244</v>
      </c>
      <c r="K64" s="69">
        <f>J64/E64</f>
        <v>9.889085655699506E-2</v>
      </c>
      <c r="L64" s="169"/>
    </row>
    <row r="65" spans="1:13" x14ac:dyDescent="0.5">
      <c r="B65" s="160"/>
      <c r="C65" s="161"/>
      <c r="D65" s="161"/>
      <c r="E65" s="161"/>
      <c r="F65" s="161"/>
      <c r="G65" s="161"/>
      <c r="H65" s="161"/>
      <c r="I65" s="161"/>
      <c r="J65" s="161"/>
      <c r="K65" s="162"/>
      <c r="L65" s="169"/>
    </row>
    <row r="66" spans="1:13" x14ac:dyDescent="0.5">
      <c r="B66" s="163"/>
      <c r="C66" s="164" t="s">
        <v>238</v>
      </c>
      <c r="D66" s="164"/>
      <c r="E66" s="164"/>
      <c r="F66" s="164"/>
      <c r="G66" s="164"/>
      <c r="H66" s="164"/>
      <c r="I66" s="164"/>
      <c r="J66" s="164"/>
      <c r="K66" s="165"/>
      <c r="L66" s="150"/>
    </row>
    <row r="67" spans="1:13" ht="21.6" x14ac:dyDescent="0.5">
      <c r="B67" s="157" t="s">
        <v>55</v>
      </c>
      <c r="C67" s="158" t="s">
        <v>192</v>
      </c>
      <c r="D67" s="158" t="s">
        <v>193</v>
      </c>
      <c r="E67" s="158" t="s">
        <v>194</v>
      </c>
      <c r="F67" s="158" t="s">
        <v>75</v>
      </c>
      <c r="G67" s="158" t="s">
        <v>195</v>
      </c>
      <c r="H67" s="158" t="s">
        <v>91</v>
      </c>
      <c r="I67" s="158" t="s">
        <v>196</v>
      </c>
      <c r="J67" s="158" t="s">
        <v>92</v>
      </c>
      <c r="K67" s="159" t="s">
        <v>197</v>
      </c>
      <c r="L67" s="150"/>
    </row>
    <row r="68" spans="1:13" x14ac:dyDescent="0.5">
      <c r="B68" s="66">
        <v>2008</v>
      </c>
      <c r="C68" s="67">
        <f t="shared" ref="C68:D75" si="63">C6+C18+C30+C42</f>
        <v>860.00278822222219</v>
      </c>
      <c r="D68" s="67">
        <f t="shared" si="63"/>
        <v>2709.3</v>
      </c>
      <c r="E68" s="67">
        <f>SUM(BonSThd!F47:K47)</f>
        <v>339252</v>
      </c>
      <c r="F68" s="67">
        <f t="shared" ref="F68:G76" si="64">F6+F18+F30+F42</f>
        <v>26339</v>
      </c>
      <c r="G68" s="67">
        <f t="shared" si="64"/>
        <v>13318.200968905832</v>
      </c>
      <c r="H68" s="67">
        <f t="shared" ref="H68:H72" si="65">C68+D68+G68</f>
        <v>16887.503757128055</v>
      </c>
      <c r="I68" s="68">
        <f t="shared" ref="I68:I72" si="66">H68/E68</f>
        <v>4.9778641709195687E-2</v>
      </c>
      <c r="J68" s="67">
        <f t="shared" ref="J68:J72" si="67">F68</f>
        <v>26339</v>
      </c>
      <c r="K68" s="69">
        <f t="shared" ref="K68:K72" si="68">J68/E68</f>
        <v>7.7638451652458945E-2</v>
      </c>
      <c r="L68" s="150"/>
    </row>
    <row r="69" spans="1:13" x14ac:dyDescent="0.5">
      <c r="B69" s="66">
        <v>2009</v>
      </c>
      <c r="C69" s="67">
        <f t="shared" si="63"/>
        <v>1076.4507067999998</v>
      </c>
      <c r="D69" s="67">
        <f t="shared" si="63"/>
        <v>7763</v>
      </c>
      <c r="E69" s="67">
        <f>SUM(BonSThd!F48:K48)</f>
        <v>587735</v>
      </c>
      <c r="F69" s="67">
        <f t="shared" si="64"/>
        <v>36754</v>
      </c>
      <c r="G69" s="67">
        <f t="shared" si="64"/>
        <v>35400.886526887632</v>
      </c>
      <c r="H69" s="67">
        <f t="shared" si="65"/>
        <v>44240.337233687635</v>
      </c>
      <c r="I69" s="68">
        <f t="shared" si="66"/>
        <v>7.5272592637307012E-2</v>
      </c>
      <c r="J69" s="67">
        <f t="shared" si="67"/>
        <v>36754</v>
      </c>
      <c r="K69" s="69">
        <f t="shared" si="68"/>
        <v>6.2534986005597759E-2</v>
      </c>
      <c r="L69" s="150"/>
    </row>
    <row r="70" spans="1:13" x14ac:dyDescent="0.5">
      <c r="B70" s="66">
        <v>2010</v>
      </c>
      <c r="C70" s="67">
        <f t="shared" si="63"/>
        <v>956.71728960852158</v>
      </c>
      <c r="D70" s="67">
        <f t="shared" si="63"/>
        <v>6383.4000000000015</v>
      </c>
      <c r="E70" s="67">
        <f>SUM(BonSThd!F49:K49)</f>
        <v>381147</v>
      </c>
      <c r="F70" s="67">
        <f t="shared" si="64"/>
        <v>27452</v>
      </c>
      <c r="G70" s="67">
        <f t="shared" si="64"/>
        <v>16919.572370540802</v>
      </c>
      <c r="H70" s="67">
        <f t="shared" si="65"/>
        <v>24259.689660149324</v>
      </c>
      <c r="I70" s="68">
        <f t="shared" si="66"/>
        <v>6.3649168588889124E-2</v>
      </c>
      <c r="J70" s="67">
        <f t="shared" si="67"/>
        <v>27452</v>
      </c>
      <c r="K70" s="69">
        <f t="shared" si="68"/>
        <v>7.2024704379150303E-2</v>
      </c>
      <c r="L70" s="150"/>
    </row>
    <row r="71" spans="1:13" ht="34.5" customHeight="1" x14ac:dyDescent="0.5">
      <c r="B71" s="66">
        <v>2011</v>
      </c>
      <c r="C71" s="67">
        <f t="shared" si="63"/>
        <v>1480.0689243803854</v>
      </c>
      <c r="D71" s="67">
        <f t="shared" si="63"/>
        <v>12825.900000000001</v>
      </c>
      <c r="E71" s="67">
        <f>SUM(BonSThd!F50:K50)</f>
        <v>355121</v>
      </c>
      <c r="F71" s="67">
        <f t="shared" si="64"/>
        <v>27499</v>
      </c>
      <c r="G71" s="67">
        <f t="shared" si="64"/>
        <v>17783.722636881052</v>
      </c>
      <c r="H71" s="67">
        <f t="shared" si="65"/>
        <v>32089.691561261439</v>
      </c>
      <c r="I71" s="68">
        <f t="shared" si="66"/>
        <v>9.036269767561321E-2</v>
      </c>
      <c r="J71" s="67">
        <f t="shared" si="67"/>
        <v>27499</v>
      </c>
      <c r="K71" s="69">
        <f t="shared" si="68"/>
        <v>7.7435578295848462E-2</v>
      </c>
      <c r="L71" s="150"/>
    </row>
    <row r="72" spans="1:13" ht="34.5" customHeight="1" x14ac:dyDescent="0.5">
      <c r="B72" s="66">
        <v>2012</v>
      </c>
      <c r="C72" s="67">
        <f t="shared" si="63"/>
        <v>644.22955891904871</v>
      </c>
      <c r="D72" s="67">
        <f t="shared" si="63"/>
        <v>5964.4000000000005</v>
      </c>
      <c r="E72" s="67">
        <f>SUM(BonSThd!F51:K51)</f>
        <v>219857</v>
      </c>
      <c r="F72" s="67">
        <f t="shared" si="64"/>
        <v>15211</v>
      </c>
      <c r="G72" s="67">
        <f t="shared" si="64"/>
        <v>14193.71945698291</v>
      </c>
      <c r="H72" s="67">
        <f t="shared" si="65"/>
        <v>20802.34901590196</v>
      </c>
      <c r="I72" s="68">
        <f t="shared" si="66"/>
        <v>9.461763335214235E-2</v>
      </c>
      <c r="J72" s="67">
        <f t="shared" si="67"/>
        <v>15211</v>
      </c>
      <c r="K72" s="69">
        <f t="shared" si="68"/>
        <v>6.9185879912852438E-2</v>
      </c>
      <c r="L72" s="150"/>
    </row>
    <row r="73" spans="1:13" ht="34.5" customHeight="1" x14ac:dyDescent="0.5">
      <c r="B73" s="66">
        <v>2013</v>
      </c>
      <c r="C73" s="67">
        <f t="shared" si="63"/>
        <v>609.27228523989743</v>
      </c>
      <c r="D73" s="67">
        <f t="shared" si="63"/>
        <v>6786.1</v>
      </c>
      <c r="E73" s="67">
        <f>SUM(BonSThd!F52:K52)</f>
        <v>225586</v>
      </c>
      <c r="F73" s="67">
        <f t="shared" si="64"/>
        <v>17157</v>
      </c>
      <c r="G73" s="67">
        <f t="shared" si="64"/>
        <v>12520.186637957078</v>
      </c>
      <c r="H73" s="67">
        <f>C73+D73+G73</f>
        <v>19915.558923196975</v>
      </c>
      <c r="I73" s="68">
        <f>H73/E73</f>
        <v>8.8283665312550316E-2</v>
      </c>
      <c r="J73" s="67">
        <f>F73</f>
        <v>17157</v>
      </c>
      <c r="K73" s="69">
        <f>J73/E73</f>
        <v>7.6055251655687856E-2</v>
      </c>
      <c r="L73" s="150"/>
    </row>
    <row r="74" spans="1:13" x14ac:dyDescent="0.5">
      <c r="B74" s="66">
        <v>2014</v>
      </c>
      <c r="C74" s="67">
        <f t="shared" si="63"/>
        <v>1011.39073</v>
      </c>
      <c r="D74" s="67">
        <f t="shared" si="63"/>
        <v>6901.9</v>
      </c>
      <c r="E74" s="67">
        <f>SUM(BonSThd!F53:K53)</f>
        <v>307187</v>
      </c>
      <c r="F74" s="67">
        <f t="shared" si="64"/>
        <v>25460</v>
      </c>
      <c r="G74" s="67">
        <f t="shared" si="64"/>
        <v>15349.191660708306</v>
      </c>
      <c r="H74" s="67">
        <f>C74+D74+G74</f>
        <v>23262.482390708305</v>
      </c>
      <c r="I74" s="68">
        <f>H74/E74</f>
        <v>7.5727431143597562E-2</v>
      </c>
      <c r="J74" s="67">
        <f>F74</f>
        <v>25460</v>
      </c>
      <c r="K74" s="69">
        <f>J74/E74</f>
        <v>8.2881111505369698E-2</v>
      </c>
      <c r="L74" s="150"/>
    </row>
    <row r="75" spans="1:13" x14ac:dyDescent="0.5">
      <c r="B75" s="66">
        <v>2015</v>
      </c>
      <c r="C75" s="67">
        <f>C13+C25+C37+C49</f>
        <v>658.77746586637716</v>
      </c>
      <c r="D75" s="67">
        <f t="shared" si="63"/>
        <v>4472.5</v>
      </c>
      <c r="E75" s="67">
        <f>SUM(BonSThd!F54:K54)</f>
        <v>253230</v>
      </c>
      <c r="F75" s="67">
        <f t="shared" si="64"/>
        <v>16571</v>
      </c>
      <c r="G75" s="67">
        <f t="shared" si="64"/>
        <v>19928.26410356208</v>
      </c>
      <c r="H75" s="67">
        <f>C75+D75+G75</f>
        <v>25059.541569428457</v>
      </c>
      <c r="I75" s="68">
        <f>H75/E75</f>
        <v>9.8959608140538072E-2</v>
      </c>
      <c r="J75" s="67">
        <f>F75</f>
        <v>16571</v>
      </c>
      <c r="K75" s="69">
        <f>J75/E75</f>
        <v>6.5438534138925086E-2</v>
      </c>
      <c r="L75" s="150"/>
    </row>
    <row r="76" spans="1:13" x14ac:dyDescent="0.5">
      <c r="B76" s="66">
        <v>2016</v>
      </c>
      <c r="C76" s="67">
        <f>C14+C26+C38+C50</f>
        <v>689.30821135162114</v>
      </c>
      <c r="D76" s="67">
        <f>D14+D26+D38+D50</f>
        <v>1948.2920291243536</v>
      </c>
      <c r="E76" s="67">
        <f>SUM(BonSThd!F55:K55)</f>
        <v>171806</v>
      </c>
      <c r="F76" s="67">
        <f>F14+F26+F38+F50</f>
        <v>13549</v>
      </c>
      <c r="G76" s="67">
        <f t="shared" si="64"/>
        <v>10035.633066532258</v>
      </c>
      <c r="H76" s="67">
        <f>C76+D76+G76</f>
        <v>12673.233307008233</v>
      </c>
      <c r="I76" s="68">
        <f>H76/E76</f>
        <v>7.3764788814175489E-2</v>
      </c>
      <c r="J76" s="67">
        <f>F76</f>
        <v>13549</v>
      </c>
      <c r="K76" s="69">
        <f>J76/E76</f>
        <v>7.8862205045225425E-2</v>
      </c>
      <c r="L76" s="150"/>
    </row>
    <row r="77" spans="1:13" x14ac:dyDescent="0.5">
      <c r="B77" s="740" t="s">
        <v>239</v>
      </c>
      <c r="C77" s="741"/>
      <c r="D77" s="741"/>
      <c r="E77" s="741"/>
      <c r="F77" s="741"/>
      <c r="G77" s="741"/>
      <c r="H77" s="741"/>
      <c r="I77" s="741"/>
      <c r="J77" s="741"/>
      <c r="K77" s="742"/>
      <c r="L77" s="150"/>
    </row>
    <row r="78" spans="1:13" ht="13.2" thickBot="1" x14ac:dyDescent="0.55000000000000004">
      <c r="B78" s="208"/>
      <c r="C78" s="208"/>
      <c r="D78" s="208"/>
      <c r="E78" s="208"/>
      <c r="F78" s="208"/>
      <c r="G78" s="208"/>
      <c r="H78" s="208"/>
      <c r="I78" s="208"/>
      <c r="J78" s="208"/>
      <c r="K78" s="208"/>
      <c r="L78" s="150"/>
    </row>
    <row r="79" spans="1:13" ht="14.7" thickBot="1" x14ac:dyDescent="0.6">
      <c r="B79" s="208"/>
      <c r="C79" s="208"/>
      <c r="D79" s="208"/>
      <c r="E79" s="735" t="s">
        <v>240</v>
      </c>
      <c r="F79" s="736"/>
      <c r="G79" s="737"/>
      <c r="H79" s="208"/>
      <c r="I79" s="208"/>
      <c r="J79" s="440" t="s">
        <v>241</v>
      </c>
      <c r="K79" s="434"/>
      <c r="L79" s="435" t="s">
        <v>242</v>
      </c>
      <c r="M79" s="434"/>
    </row>
    <row r="80" spans="1:13" ht="14.4" x14ac:dyDescent="0.55000000000000004">
      <c r="A80"/>
      <c r="B80"/>
      <c r="C80"/>
      <c r="E80" s="215"/>
      <c r="F80" s="520">
        <v>2017</v>
      </c>
      <c r="G80" s="209">
        <v>2017</v>
      </c>
      <c r="J80" s="434"/>
      <c r="K80" s="434"/>
      <c r="L80" s="435" t="s">
        <v>243</v>
      </c>
      <c r="M80" s="434"/>
    </row>
    <row r="81" spans="1:13" ht="14.7" thickBot="1" x14ac:dyDescent="0.55000000000000004">
      <c r="A81"/>
      <c r="B81"/>
      <c r="C81"/>
      <c r="E81" s="216"/>
      <c r="F81" s="210" t="s">
        <v>179</v>
      </c>
      <c r="G81" s="211" t="s">
        <v>131</v>
      </c>
      <c r="J81" s="732" t="s">
        <v>244</v>
      </c>
      <c r="K81" s="733"/>
      <c r="L81" s="733"/>
      <c r="M81" s="734"/>
    </row>
    <row r="82" spans="1:13" ht="14.4" x14ac:dyDescent="0.55000000000000004">
      <c r="A82"/>
      <c r="B82"/>
      <c r="C82"/>
      <c r="E82" s="519" t="s">
        <v>180</v>
      </c>
      <c r="F82" s="217">
        <f>K85</f>
        <v>11300</v>
      </c>
      <c r="G82" s="218">
        <f>L85</f>
        <v>3491</v>
      </c>
      <c r="J82" s="448"/>
      <c r="K82" s="456"/>
      <c r="L82" s="453">
        <v>2017</v>
      </c>
      <c r="M82" s="456"/>
    </row>
    <row r="83" spans="1:13" ht="14.4" x14ac:dyDescent="0.55000000000000004">
      <c r="A83"/>
      <c r="B83"/>
      <c r="C83"/>
      <c r="E83" s="212" t="s">
        <v>181</v>
      </c>
      <c r="F83" s="219">
        <f>K86</f>
        <v>7200</v>
      </c>
      <c r="G83" s="220">
        <f>L86</f>
        <v>2255</v>
      </c>
      <c r="J83" s="449"/>
      <c r="K83" s="450">
        <v>2017</v>
      </c>
      <c r="L83" s="454" t="s">
        <v>245</v>
      </c>
      <c r="M83" s="450">
        <v>2018</v>
      </c>
    </row>
    <row r="84" spans="1:13" ht="14.4" x14ac:dyDescent="0.55000000000000004">
      <c r="A84"/>
      <c r="B84"/>
      <c r="C84"/>
      <c r="E84" s="212" t="s">
        <v>246</v>
      </c>
      <c r="F84" s="219">
        <f t="shared" ref="F84:G86" si="69">K89</f>
        <v>4100</v>
      </c>
      <c r="G84" s="220">
        <f t="shared" si="69"/>
        <v>1236</v>
      </c>
      <c r="J84" s="451"/>
      <c r="K84" s="452" t="s">
        <v>179</v>
      </c>
      <c r="L84" s="455" t="s">
        <v>247</v>
      </c>
      <c r="M84" s="452" t="s">
        <v>179</v>
      </c>
    </row>
    <row r="85" spans="1:13" ht="14.4" x14ac:dyDescent="0.55000000000000004">
      <c r="A85"/>
      <c r="B85"/>
      <c r="C85"/>
      <c r="E85" s="221" t="s">
        <v>182</v>
      </c>
      <c r="F85" s="222">
        <f t="shared" si="69"/>
        <v>112100</v>
      </c>
      <c r="G85" s="223">
        <f t="shared" si="69"/>
        <v>106776</v>
      </c>
      <c r="J85" s="436" t="s">
        <v>248</v>
      </c>
      <c r="K85" s="441">
        <v>11300</v>
      </c>
      <c r="L85" s="442">
        <v>3491</v>
      </c>
      <c r="M85" s="457">
        <v>7950</v>
      </c>
    </row>
    <row r="86" spans="1:13" ht="14.4" x14ac:dyDescent="0.55000000000000004">
      <c r="A86"/>
      <c r="B86"/>
      <c r="C86"/>
      <c r="D86" s="169"/>
      <c r="E86" s="212" t="s">
        <v>181</v>
      </c>
      <c r="F86" s="219">
        <f t="shared" si="69"/>
        <v>79100</v>
      </c>
      <c r="G86" s="220">
        <f t="shared" si="69"/>
        <v>78867</v>
      </c>
      <c r="H86" s="170"/>
      <c r="I86" s="170"/>
      <c r="J86" s="437" t="s">
        <v>249</v>
      </c>
      <c r="K86" s="444">
        <v>7200</v>
      </c>
      <c r="L86" s="446">
        <v>2255</v>
      </c>
      <c r="M86" s="458">
        <v>4950</v>
      </c>
    </row>
    <row r="87" spans="1:13" ht="14.4" x14ac:dyDescent="0.55000000000000004">
      <c r="A87"/>
      <c r="B87"/>
      <c r="C87"/>
      <c r="D87" s="169"/>
      <c r="E87" s="213" t="s">
        <v>246</v>
      </c>
      <c r="F87" s="219">
        <f t="shared" ref="F87:G89" si="70">K94</f>
        <v>33000</v>
      </c>
      <c r="G87" s="220">
        <f t="shared" si="70"/>
        <v>27909</v>
      </c>
      <c r="H87" s="169"/>
      <c r="I87" s="169"/>
      <c r="J87" s="437" t="s">
        <v>250</v>
      </c>
      <c r="K87" s="444" t="s">
        <v>57</v>
      </c>
      <c r="L87" s="446">
        <v>2255</v>
      </c>
      <c r="M87" s="458">
        <v>4650</v>
      </c>
    </row>
    <row r="88" spans="1:13" ht="14.4" x14ac:dyDescent="0.55000000000000004">
      <c r="B88" s="171"/>
      <c r="C88" s="150"/>
      <c r="D88" s="150"/>
      <c r="E88" s="221" t="s">
        <v>183</v>
      </c>
      <c r="F88" s="222">
        <f t="shared" si="70"/>
        <v>7300</v>
      </c>
      <c r="G88" s="223">
        <f t="shared" si="70"/>
        <v>6574</v>
      </c>
      <c r="H88" s="150"/>
      <c r="I88" s="150"/>
      <c r="J88" s="437" t="s">
        <v>251</v>
      </c>
      <c r="K88" s="444" t="s">
        <v>57</v>
      </c>
      <c r="L88" s="446">
        <v>0</v>
      </c>
      <c r="M88" s="458">
        <v>300</v>
      </c>
    </row>
    <row r="89" spans="1:13" ht="14.4" x14ac:dyDescent="0.55000000000000004">
      <c r="B89" s="171"/>
      <c r="C89" s="150"/>
      <c r="D89" s="150"/>
      <c r="E89" s="212" t="s">
        <v>181</v>
      </c>
      <c r="F89" s="219">
        <f t="shared" si="70"/>
        <v>6200</v>
      </c>
      <c r="G89" s="220">
        <f t="shared" si="70"/>
        <v>5823</v>
      </c>
      <c r="H89" s="150"/>
      <c r="I89" s="150"/>
      <c r="J89" s="437" t="s">
        <v>246</v>
      </c>
      <c r="K89" s="444">
        <v>4100</v>
      </c>
      <c r="L89" s="446">
        <v>1236</v>
      </c>
      <c r="M89" s="458">
        <v>3000</v>
      </c>
    </row>
    <row r="90" spans="1:13" ht="14.4" x14ac:dyDescent="0.55000000000000004">
      <c r="B90" s="150"/>
      <c r="C90" s="150"/>
      <c r="D90" s="150"/>
      <c r="E90" s="212" t="s">
        <v>246</v>
      </c>
      <c r="F90" s="224">
        <f>K99</f>
        <v>1100</v>
      </c>
      <c r="G90" s="225">
        <f>L99</f>
        <v>751</v>
      </c>
      <c r="H90" s="150"/>
      <c r="I90" s="150"/>
      <c r="J90" s="436" t="s">
        <v>252</v>
      </c>
      <c r="K90" s="441">
        <v>112100</v>
      </c>
      <c r="L90" s="443">
        <v>106776</v>
      </c>
      <c r="M90" s="457">
        <v>158000</v>
      </c>
    </row>
    <row r="91" spans="1:13" ht="14.4" x14ac:dyDescent="0.55000000000000004">
      <c r="B91" s="171"/>
      <c r="C91" s="150"/>
      <c r="D91" s="150"/>
      <c r="E91" s="221" t="s">
        <v>184</v>
      </c>
      <c r="F91" s="222">
        <f>F82+F85+F88</f>
        <v>130700</v>
      </c>
      <c r="G91" s="223">
        <f>G82+G85+G88</f>
        <v>116841</v>
      </c>
      <c r="H91" s="150"/>
      <c r="I91" s="150"/>
      <c r="J91" s="437" t="s">
        <v>249</v>
      </c>
      <c r="K91" s="444">
        <v>79100</v>
      </c>
      <c r="L91" s="446">
        <v>78867</v>
      </c>
      <c r="M91" s="458">
        <v>113200</v>
      </c>
    </row>
    <row r="92" spans="1:13" ht="14.4" x14ac:dyDescent="0.55000000000000004">
      <c r="B92" s="171"/>
      <c r="C92" s="171"/>
      <c r="D92" s="150"/>
      <c r="E92" s="212" t="s">
        <v>181</v>
      </c>
      <c r="F92" s="224">
        <f>F83+F86+F89</f>
        <v>92500</v>
      </c>
      <c r="G92" s="225">
        <f>G83+G86+G89</f>
        <v>86945</v>
      </c>
      <c r="H92" s="150"/>
      <c r="I92" s="150"/>
      <c r="J92" s="437" t="s">
        <v>250</v>
      </c>
      <c r="K92" s="444" t="s">
        <v>57</v>
      </c>
      <c r="L92" s="446">
        <v>75690</v>
      </c>
      <c r="M92" s="458">
        <v>107000</v>
      </c>
    </row>
    <row r="93" spans="1:13" ht="14.7" thickBot="1" x14ac:dyDescent="0.6">
      <c r="B93" s="171"/>
      <c r="C93" s="150"/>
      <c r="D93" s="150"/>
      <c r="E93" s="214" t="s">
        <v>246</v>
      </c>
      <c r="F93" s="226">
        <f t="shared" ref="F93:G93" si="71">F84+F87+F90</f>
        <v>38200</v>
      </c>
      <c r="G93" s="227">
        <f t="shared" si="71"/>
        <v>29896</v>
      </c>
      <c r="H93" s="150"/>
      <c r="I93" s="150"/>
      <c r="J93" s="437" t="s">
        <v>251</v>
      </c>
      <c r="K93" s="444" t="s">
        <v>57</v>
      </c>
      <c r="L93" s="446">
        <v>3177</v>
      </c>
      <c r="M93" s="458">
        <v>6200</v>
      </c>
    </row>
    <row r="94" spans="1:13" ht="14.4" x14ac:dyDescent="0.55000000000000004">
      <c r="B94" s="150"/>
      <c r="C94" s="150"/>
      <c r="D94" s="150"/>
      <c r="E94" s="172"/>
      <c r="F94" s="172"/>
      <c r="G94" s="150"/>
      <c r="H94" s="150"/>
      <c r="I94" s="150"/>
      <c r="J94" s="438" t="s">
        <v>246</v>
      </c>
      <c r="K94" s="444">
        <v>33000</v>
      </c>
      <c r="L94" s="446">
        <v>27909</v>
      </c>
      <c r="M94" s="458">
        <v>44800</v>
      </c>
    </row>
    <row r="95" spans="1:13" ht="14.4" x14ac:dyDescent="0.55000000000000004">
      <c r="B95" s="150"/>
      <c r="C95" s="150"/>
      <c r="D95" s="150"/>
      <c r="E95" s="172"/>
      <c r="F95" s="172"/>
      <c r="G95" s="150"/>
      <c r="H95" s="150"/>
      <c r="I95" s="150"/>
      <c r="J95" s="436" t="s">
        <v>253</v>
      </c>
      <c r="K95" s="441">
        <v>7300</v>
      </c>
      <c r="L95" s="443">
        <v>6574</v>
      </c>
      <c r="M95" s="457">
        <v>24400</v>
      </c>
    </row>
    <row r="96" spans="1:13" ht="14.4" x14ac:dyDescent="0.55000000000000004">
      <c r="B96" s="150"/>
      <c r="C96" s="150"/>
      <c r="D96" s="150"/>
      <c r="E96" s="172"/>
      <c r="F96" s="172"/>
      <c r="G96" s="150"/>
      <c r="H96" s="150"/>
      <c r="I96" s="150"/>
      <c r="J96" s="437" t="s">
        <v>249</v>
      </c>
      <c r="K96" s="441">
        <v>6200</v>
      </c>
      <c r="L96" s="446">
        <v>5823</v>
      </c>
      <c r="M96" s="458">
        <v>21000</v>
      </c>
    </row>
    <row r="97" spans="2:13" ht="14.4" x14ac:dyDescent="0.55000000000000004">
      <c r="B97" s="150"/>
      <c r="C97" s="150"/>
      <c r="D97" s="150"/>
      <c r="E97" s="172"/>
      <c r="F97" s="172"/>
      <c r="G97" s="150"/>
      <c r="H97" s="150"/>
      <c r="I97" s="150"/>
      <c r="J97" s="437" t="s">
        <v>250</v>
      </c>
      <c r="K97" s="444" t="s">
        <v>57</v>
      </c>
      <c r="L97" s="446">
        <v>5019</v>
      </c>
      <c r="M97" s="458">
        <v>17700</v>
      </c>
    </row>
    <row r="98" spans="2:13" ht="14.4" x14ac:dyDescent="0.55000000000000004">
      <c r="B98" s="150"/>
      <c r="C98" s="150"/>
      <c r="D98" s="150"/>
      <c r="E98" s="172"/>
      <c r="F98" s="172"/>
      <c r="G98" s="150"/>
      <c r="H98" s="150"/>
      <c r="I98" s="150"/>
      <c r="J98" s="437" t="s">
        <v>251</v>
      </c>
      <c r="K98" s="444" t="s">
        <v>57</v>
      </c>
      <c r="L98" s="446">
        <v>804</v>
      </c>
      <c r="M98" s="458">
        <v>3300</v>
      </c>
    </row>
    <row r="99" spans="2:13" ht="14.4" x14ac:dyDescent="0.55000000000000004">
      <c r="B99" s="150"/>
      <c r="C99" s="150"/>
      <c r="D99" s="150"/>
      <c r="E99" s="172"/>
      <c r="F99" s="172"/>
      <c r="G99" s="150"/>
      <c r="H99" s="150"/>
      <c r="I99" s="150"/>
      <c r="J99" s="437" t="s">
        <v>246</v>
      </c>
      <c r="K99" s="441">
        <v>1100</v>
      </c>
      <c r="L99" s="446">
        <v>751</v>
      </c>
      <c r="M99" s="458">
        <v>3400</v>
      </c>
    </row>
    <row r="100" spans="2:13" ht="14.4" x14ac:dyDescent="0.55000000000000004">
      <c r="B100" s="150"/>
      <c r="C100" s="150"/>
      <c r="D100" s="150"/>
      <c r="E100" s="172"/>
      <c r="F100" s="172"/>
      <c r="G100" s="150"/>
      <c r="H100" s="150"/>
      <c r="I100" s="150"/>
      <c r="J100" s="436" t="s">
        <v>254</v>
      </c>
      <c r="K100" s="441">
        <v>119400</v>
      </c>
      <c r="L100" s="443">
        <v>113350</v>
      </c>
      <c r="M100" s="457">
        <v>182400</v>
      </c>
    </row>
    <row r="101" spans="2:13" ht="14.4" x14ac:dyDescent="0.55000000000000004">
      <c r="B101" s="150"/>
      <c r="C101" s="150"/>
      <c r="D101" s="150"/>
      <c r="E101" s="172"/>
      <c r="F101" s="172"/>
      <c r="G101" s="150"/>
      <c r="H101" s="150"/>
      <c r="I101" s="150"/>
      <c r="J101" s="437" t="s">
        <v>249</v>
      </c>
      <c r="K101" s="446">
        <v>85300</v>
      </c>
      <c r="L101" s="446">
        <v>84690</v>
      </c>
      <c r="M101" s="458">
        <v>134200</v>
      </c>
    </row>
    <row r="102" spans="2:13" ht="14.4" x14ac:dyDescent="0.55000000000000004">
      <c r="B102" s="150"/>
      <c r="C102" s="150"/>
      <c r="D102" s="150"/>
      <c r="E102" s="172"/>
      <c r="F102" s="172"/>
      <c r="G102" s="150"/>
      <c r="H102" s="150"/>
      <c r="I102" s="150"/>
      <c r="J102" s="437" t="s">
        <v>250</v>
      </c>
      <c r="K102" s="444" t="s">
        <v>57</v>
      </c>
      <c r="L102" s="446">
        <v>80709</v>
      </c>
      <c r="M102" s="458">
        <v>124700</v>
      </c>
    </row>
    <row r="103" spans="2:13" ht="14.4" x14ac:dyDescent="0.55000000000000004">
      <c r="B103" s="150"/>
      <c r="C103" s="150"/>
      <c r="D103" s="150"/>
      <c r="E103" s="172"/>
      <c r="F103" s="172"/>
      <c r="G103" s="150"/>
      <c r="H103" s="150"/>
      <c r="I103" s="150"/>
      <c r="J103" s="437" t="s">
        <v>251</v>
      </c>
      <c r="K103" s="444" t="s">
        <v>57</v>
      </c>
      <c r="L103" s="446">
        <v>3981</v>
      </c>
      <c r="M103" s="458">
        <v>9500</v>
      </c>
    </row>
    <row r="104" spans="2:13" ht="14.4" x14ac:dyDescent="0.55000000000000004">
      <c r="B104" s="150"/>
      <c r="C104" s="150"/>
      <c r="D104" s="150"/>
      <c r="E104" s="172"/>
      <c r="F104" s="172"/>
      <c r="G104" s="150"/>
      <c r="H104" s="150"/>
      <c r="I104" s="150"/>
      <c r="J104" s="437" t="s">
        <v>246</v>
      </c>
      <c r="K104" s="444">
        <v>34100</v>
      </c>
      <c r="L104" s="445">
        <v>28660</v>
      </c>
      <c r="M104" s="458">
        <v>48200</v>
      </c>
    </row>
    <row r="105" spans="2:13" ht="14.4" x14ac:dyDescent="0.55000000000000004">
      <c r="B105" s="150"/>
      <c r="C105" s="150"/>
      <c r="D105" s="150"/>
      <c r="E105" s="172"/>
      <c r="F105" s="172"/>
      <c r="G105" s="150"/>
      <c r="H105" s="150"/>
      <c r="I105" s="150"/>
      <c r="J105" s="436" t="s">
        <v>255</v>
      </c>
      <c r="K105" s="441">
        <v>130700</v>
      </c>
      <c r="L105" s="441">
        <v>116841</v>
      </c>
      <c r="M105" s="457">
        <v>190350</v>
      </c>
    </row>
    <row r="106" spans="2:13" ht="14.4" x14ac:dyDescent="0.55000000000000004">
      <c r="B106" s="150"/>
      <c r="C106" s="150"/>
      <c r="D106" s="150"/>
      <c r="E106" s="172"/>
      <c r="F106" s="172"/>
      <c r="G106" s="150"/>
      <c r="H106" s="150"/>
      <c r="I106" s="150"/>
      <c r="J106" s="437" t="s">
        <v>249</v>
      </c>
      <c r="K106" s="444">
        <v>92500</v>
      </c>
      <c r="L106" s="444">
        <v>86945</v>
      </c>
      <c r="M106" s="458">
        <v>139150</v>
      </c>
    </row>
    <row r="107" spans="2:13" ht="14.4" x14ac:dyDescent="0.55000000000000004">
      <c r="B107" s="150"/>
      <c r="C107" s="150"/>
      <c r="D107" s="150"/>
      <c r="E107" s="172"/>
      <c r="F107" s="172"/>
      <c r="G107" s="150"/>
      <c r="H107" s="150"/>
      <c r="I107" s="150"/>
      <c r="J107" s="437" t="s">
        <v>250</v>
      </c>
      <c r="K107" s="441" t="s">
        <v>57</v>
      </c>
      <c r="L107" s="444">
        <v>82964</v>
      </c>
      <c r="M107" s="458">
        <v>129350</v>
      </c>
    </row>
    <row r="108" spans="2:13" ht="14.4" x14ac:dyDescent="0.55000000000000004">
      <c r="B108" s="150"/>
      <c r="C108" s="150"/>
      <c r="D108" s="150"/>
      <c r="E108" s="172"/>
      <c r="F108" s="172"/>
      <c r="G108" s="150"/>
      <c r="H108" s="150"/>
      <c r="I108" s="150"/>
      <c r="J108" s="437" t="s">
        <v>251</v>
      </c>
      <c r="K108" s="444" t="s">
        <v>57</v>
      </c>
      <c r="L108" s="444">
        <v>3981</v>
      </c>
      <c r="M108" s="458">
        <v>9800</v>
      </c>
    </row>
    <row r="109" spans="2:13" ht="14.4" x14ac:dyDescent="0.55000000000000004">
      <c r="B109" s="150"/>
      <c r="C109" s="150"/>
      <c r="D109" s="150"/>
      <c r="E109" s="172"/>
      <c r="F109" s="172"/>
      <c r="G109" s="150"/>
      <c r="H109" s="150"/>
      <c r="I109" s="150"/>
      <c r="J109" s="439" t="s">
        <v>246</v>
      </c>
      <c r="K109" s="447">
        <v>38200</v>
      </c>
      <c r="L109" s="447">
        <v>29896</v>
      </c>
      <c r="M109" s="459">
        <v>51200</v>
      </c>
    </row>
    <row r="110" spans="2:13" x14ac:dyDescent="0.5">
      <c r="B110" s="150"/>
      <c r="C110" s="150"/>
      <c r="D110" s="150"/>
      <c r="E110" s="172"/>
      <c r="F110" s="172"/>
      <c r="G110" s="150"/>
      <c r="H110" s="150"/>
      <c r="I110" s="150"/>
      <c r="J110" s="150"/>
      <c r="K110" s="150"/>
    </row>
    <row r="111" spans="2:13" x14ac:dyDescent="0.5">
      <c r="B111" s="150"/>
      <c r="C111" s="150"/>
      <c r="D111" s="150"/>
      <c r="E111" s="172"/>
      <c r="F111" s="172"/>
      <c r="G111" s="150"/>
      <c r="H111" s="150"/>
      <c r="I111" s="150"/>
      <c r="J111" s="150"/>
      <c r="K111" s="150"/>
    </row>
    <row r="112" spans="2:13" x14ac:dyDescent="0.5">
      <c r="B112" s="150"/>
      <c r="C112" s="150"/>
      <c r="D112" s="150"/>
      <c r="E112" s="172"/>
      <c r="F112" s="172"/>
      <c r="G112" s="150"/>
      <c r="H112" s="150"/>
      <c r="I112" s="150"/>
      <c r="J112" s="150"/>
      <c r="K112" s="150"/>
    </row>
    <row r="113" spans="2:11" x14ac:dyDescent="0.5">
      <c r="B113" s="150"/>
      <c r="C113" s="150"/>
      <c r="D113" s="150"/>
      <c r="E113" s="172"/>
      <c r="F113" s="172"/>
      <c r="G113" s="150"/>
      <c r="H113" s="150"/>
      <c r="I113" s="150"/>
      <c r="J113" s="150"/>
      <c r="K113" s="150"/>
    </row>
    <row r="114" spans="2:11" x14ac:dyDescent="0.5">
      <c r="B114" s="150"/>
      <c r="C114" s="150"/>
      <c r="D114" s="150"/>
      <c r="E114" s="172"/>
      <c r="F114" s="172"/>
      <c r="G114" s="150"/>
      <c r="H114" s="150"/>
      <c r="I114" s="150"/>
      <c r="J114" s="150"/>
      <c r="K114" s="150"/>
    </row>
    <row r="115" spans="2:11" x14ac:dyDescent="0.5">
      <c r="B115" s="150"/>
      <c r="C115" s="150"/>
      <c r="D115" s="150"/>
      <c r="E115" s="172"/>
      <c r="F115" s="172"/>
      <c r="G115" s="150"/>
      <c r="H115" s="150"/>
      <c r="I115" s="150"/>
      <c r="J115" s="150"/>
      <c r="K115" s="150"/>
    </row>
    <row r="116" spans="2:11" x14ac:dyDescent="0.5">
      <c r="B116" s="150"/>
      <c r="C116" s="150"/>
      <c r="D116" s="150"/>
      <c r="E116" s="172"/>
      <c r="F116" s="172"/>
      <c r="G116" s="150"/>
      <c r="H116" s="150"/>
      <c r="I116" s="150"/>
      <c r="J116" s="150"/>
      <c r="K116" s="150"/>
    </row>
  </sheetData>
  <mergeCells count="65">
    <mergeCell ref="J81:M81"/>
    <mergeCell ref="E79:G79"/>
    <mergeCell ref="AB6:AC6"/>
    <mergeCell ref="M17:AC17"/>
    <mergeCell ref="M18:AC18"/>
    <mergeCell ref="M19:AC19"/>
    <mergeCell ref="T6:U6"/>
    <mergeCell ref="V6:W6"/>
    <mergeCell ref="X6:Y6"/>
    <mergeCell ref="Z6:AA6"/>
    <mergeCell ref="B77:K77"/>
    <mergeCell ref="B53:K53"/>
    <mergeCell ref="N6:O6"/>
    <mergeCell ref="P6:Q6"/>
    <mergeCell ref="R6:S6"/>
    <mergeCell ref="N24:O24"/>
    <mergeCell ref="M4:AC4"/>
    <mergeCell ref="N5:Q5"/>
    <mergeCell ref="R5:U5"/>
    <mergeCell ref="V5:Y5"/>
    <mergeCell ref="Z5:AC5"/>
    <mergeCell ref="AF4:AI4"/>
    <mergeCell ref="AJ4:AM4"/>
    <mergeCell ref="AF5:AG5"/>
    <mergeCell ref="AH5:AI5"/>
    <mergeCell ref="AJ5:AK5"/>
    <mergeCell ref="AL5:AM5"/>
    <mergeCell ref="AN5:AO5"/>
    <mergeCell ref="AP5:AQ5"/>
    <mergeCell ref="M22:AG22"/>
    <mergeCell ref="N23:Q23"/>
    <mergeCell ref="R23:U23"/>
    <mergeCell ref="V23:Y23"/>
    <mergeCell ref="Z23:AC23"/>
    <mergeCell ref="AD23:AG23"/>
    <mergeCell ref="AF24:AG24"/>
    <mergeCell ref="M47:AG47"/>
    <mergeCell ref="M48:AG48"/>
    <mergeCell ref="R24:S24"/>
    <mergeCell ref="T24:U24"/>
    <mergeCell ref="V24:W24"/>
    <mergeCell ref="X24:Y24"/>
    <mergeCell ref="Z24:AA24"/>
    <mergeCell ref="P24:Q24"/>
    <mergeCell ref="BA4:BD4"/>
    <mergeCell ref="AW5:AX5"/>
    <mergeCell ref="AY5:AZ5"/>
    <mergeCell ref="BA5:BB5"/>
    <mergeCell ref="BC5:BD5"/>
    <mergeCell ref="AQ24:AS24"/>
    <mergeCell ref="AT24:AV24"/>
    <mergeCell ref="AW24:AY24"/>
    <mergeCell ref="M49:AG49"/>
    <mergeCell ref="AW4:AZ4"/>
    <mergeCell ref="AS5:AT5"/>
    <mergeCell ref="AU5:AV5"/>
    <mergeCell ref="AJ23:AJ24"/>
    <mergeCell ref="AK23:AM23"/>
    <mergeCell ref="AN23:AP23"/>
    <mergeCell ref="AQ23:AS23"/>
    <mergeCell ref="AT23:AV23"/>
    <mergeCell ref="AK24:AM24"/>
    <mergeCell ref="AN24:AP24"/>
    <mergeCell ref="AB24:AC24"/>
    <mergeCell ref="AD24:AE24"/>
  </mergeCells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55"/>
  <sheetViews>
    <sheetView workbookViewId="0">
      <selection activeCell="K1" sqref="K1"/>
    </sheetView>
  </sheetViews>
  <sheetFormatPr defaultColWidth="9.1171875" defaultRowHeight="12.9" x14ac:dyDescent="0.5"/>
  <cols>
    <col min="1" max="11" width="15.76171875" style="391" customWidth="1"/>
    <col min="12" max="16384" width="9.1171875" style="600"/>
  </cols>
  <sheetData>
    <row r="1" spans="1:12" s="588" customFormat="1" x14ac:dyDescent="0.5">
      <c r="A1" s="391" t="s">
        <v>742</v>
      </c>
      <c r="B1" s="391" t="s">
        <v>82</v>
      </c>
      <c r="C1" s="391" t="s">
        <v>696</v>
      </c>
      <c r="D1" s="391" t="s">
        <v>743</v>
      </c>
      <c r="E1" s="391" t="s">
        <v>744</v>
      </c>
      <c r="F1" s="391" t="s">
        <v>698</v>
      </c>
      <c r="G1" s="391" t="s">
        <v>745</v>
      </c>
      <c r="H1" s="391" t="s">
        <v>723</v>
      </c>
      <c r="I1" s="391" t="s">
        <v>726</v>
      </c>
      <c r="J1" s="391" t="s">
        <v>724</v>
      </c>
      <c r="K1" s="391" t="s">
        <v>727</v>
      </c>
    </row>
    <row r="2" spans="1:12" x14ac:dyDescent="0.5">
      <c r="A2" s="391" t="s">
        <v>736</v>
      </c>
      <c r="B2" s="391">
        <v>2008</v>
      </c>
      <c r="C2" s="585">
        <v>386.27680562323133</v>
      </c>
      <c r="D2" s="585">
        <v>2025.7757842668886</v>
      </c>
      <c r="E2" s="585">
        <v>162829</v>
      </c>
      <c r="F2" s="585">
        <v>8503</v>
      </c>
      <c r="G2" s="585">
        <v>8032.6720590027908</v>
      </c>
      <c r="H2" s="585">
        <v>10444.72464889291</v>
      </c>
      <c r="I2" s="610">
        <v>6.4145358928034385E-2</v>
      </c>
      <c r="J2" s="585">
        <v>8503</v>
      </c>
      <c r="K2" s="610">
        <v>5.2220427565114323E-2</v>
      </c>
    </row>
    <row r="3" spans="1:12" x14ac:dyDescent="0.5">
      <c r="A3" s="391" t="s">
        <v>736</v>
      </c>
      <c r="B3" s="391">
        <v>2009</v>
      </c>
      <c r="C3" s="585">
        <v>739.85674332506971</v>
      </c>
      <c r="D3" s="585">
        <v>7049.398392302468</v>
      </c>
      <c r="E3" s="585">
        <v>391129</v>
      </c>
      <c r="F3" s="585">
        <v>21340</v>
      </c>
      <c r="G3" s="585">
        <v>28260.895147539555</v>
      </c>
      <c r="H3" s="585">
        <v>36050.150283167095</v>
      </c>
      <c r="I3" s="610">
        <v>9.2169463995681974E-2</v>
      </c>
      <c r="J3" s="585">
        <v>21340</v>
      </c>
      <c r="K3" s="610">
        <v>5.4560004499794187E-2</v>
      </c>
    </row>
    <row r="4" spans="1:12" x14ac:dyDescent="0.5">
      <c r="A4" s="391" t="s">
        <v>736</v>
      </c>
      <c r="B4" s="391">
        <v>2010</v>
      </c>
      <c r="C4" s="585">
        <v>460.06082229799262</v>
      </c>
      <c r="D4" s="585">
        <v>5090.1576410074258</v>
      </c>
      <c r="E4" s="585">
        <v>178194</v>
      </c>
      <c r="F4" s="585">
        <v>9835</v>
      </c>
      <c r="G4" s="585">
        <v>10981.565437779813</v>
      </c>
      <c r="H4" s="585">
        <v>16531.783901085233</v>
      </c>
      <c r="I4" s="610">
        <v>9.2774077135510918E-2</v>
      </c>
      <c r="J4" s="585">
        <v>9835</v>
      </c>
      <c r="K4" s="610">
        <v>5.519265519602231E-2</v>
      </c>
    </row>
    <row r="5" spans="1:12" x14ac:dyDescent="0.5">
      <c r="A5" s="391" t="s">
        <v>736</v>
      </c>
      <c r="B5" s="391">
        <v>2011</v>
      </c>
      <c r="C5" s="585">
        <v>921.28693184735869</v>
      </c>
      <c r="D5" s="585">
        <v>11191.028220084429</v>
      </c>
      <c r="E5" s="585">
        <v>206493</v>
      </c>
      <c r="F5" s="585">
        <v>12657</v>
      </c>
      <c r="G5" s="585">
        <v>14193.057606218907</v>
      </c>
      <c r="H5" s="585">
        <v>26305.372758150694</v>
      </c>
      <c r="I5" s="610">
        <v>0.12739111136043688</v>
      </c>
      <c r="J5" s="585">
        <v>12657</v>
      </c>
      <c r="K5" s="610">
        <v>6.129505600674115E-2</v>
      </c>
    </row>
    <row r="6" spans="1:12" x14ac:dyDescent="0.5">
      <c r="A6" s="391" t="s">
        <v>736</v>
      </c>
      <c r="B6" s="391">
        <v>2012</v>
      </c>
      <c r="C6" s="585">
        <v>417.7496761966824</v>
      </c>
      <c r="D6" s="585">
        <v>5125.9715150211541</v>
      </c>
      <c r="E6" s="585">
        <v>120977</v>
      </c>
      <c r="F6" s="585">
        <v>7256</v>
      </c>
      <c r="G6" s="585">
        <v>10215.501968812699</v>
      </c>
      <c r="H6" s="585">
        <v>15759.223160030535</v>
      </c>
      <c r="I6" s="610">
        <v>0.13026627507733318</v>
      </c>
      <c r="J6" s="585">
        <v>7256</v>
      </c>
      <c r="K6" s="610">
        <v>5.9978342990816433E-2</v>
      </c>
    </row>
    <row r="7" spans="1:12" x14ac:dyDescent="0.5">
      <c r="A7" s="391" t="s">
        <v>736</v>
      </c>
      <c r="B7" s="391">
        <v>2013</v>
      </c>
      <c r="C7" s="585">
        <v>356.0049759614455</v>
      </c>
      <c r="D7" s="585">
        <v>6044.8433806633257</v>
      </c>
      <c r="E7" s="585">
        <v>120697</v>
      </c>
      <c r="F7" s="585">
        <v>9401</v>
      </c>
      <c r="G7" s="585">
        <v>10585.134432760786</v>
      </c>
      <c r="H7" s="585">
        <v>16985.982789385558</v>
      </c>
      <c r="I7" s="610">
        <v>0.14073243568096605</v>
      </c>
      <c r="J7" s="585">
        <v>9401</v>
      </c>
      <c r="K7" s="610">
        <v>7.7889259882184314E-2</v>
      </c>
    </row>
    <row r="8" spans="1:12" x14ac:dyDescent="0.5">
      <c r="A8" s="391" t="s">
        <v>736</v>
      </c>
      <c r="B8" s="391">
        <v>2014</v>
      </c>
      <c r="C8" s="585">
        <v>526.86077761358979</v>
      </c>
      <c r="D8" s="585">
        <v>5869.6767123287673</v>
      </c>
      <c r="E8" s="585">
        <v>152505</v>
      </c>
      <c r="F8" s="585">
        <v>11143</v>
      </c>
      <c r="G8" s="585">
        <v>11378.27496994477</v>
      </c>
      <c r="H8" s="585">
        <v>17774.812459887129</v>
      </c>
      <c r="I8" s="610">
        <v>0.11655232589021428</v>
      </c>
      <c r="J8" s="585">
        <v>11143</v>
      </c>
      <c r="K8" s="610">
        <v>7.3066456837480739E-2</v>
      </c>
    </row>
    <row r="9" spans="1:12" x14ac:dyDescent="0.5">
      <c r="A9" s="391" t="s">
        <v>736</v>
      </c>
      <c r="B9" s="391">
        <v>2015</v>
      </c>
      <c r="C9" s="585">
        <v>417.10872292294607</v>
      </c>
      <c r="D9" s="585">
        <v>4124.0529780714114</v>
      </c>
      <c r="E9" s="585">
        <v>152902</v>
      </c>
      <c r="F9" s="585">
        <v>8901</v>
      </c>
      <c r="G9" s="585">
        <v>16976.035901578616</v>
      </c>
      <c r="H9" s="585">
        <v>21517.197602572975</v>
      </c>
      <c r="I9" s="610">
        <v>0.14072541629653618</v>
      </c>
      <c r="J9" s="585">
        <v>8901</v>
      </c>
      <c r="K9" s="610">
        <v>5.8213757831813845E-2</v>
      </c>
    </row>
    <row r="10" spans="1:12" x14ac:dyDescent="0.5">
      <c r="A10" s="391" t="s">
        <v>736</v>
      </c>
      <c r="B10" s="391">
        <v>2016</v>
      </c>
      <c r="C10" s="585">
        <v>457.504304671451</v>
      </c>
      <c r="D10" s="585">
        <v>1371.1219929587287</v>
      </c>
      <c r="E10" s="585">
        <v>92225</v>
      </c>
      <c r="F10" s="585">
        <v>6164</v>
      </c>
      <c r="G10" s="585">
        <v>5528.9015498536555</v>
      </c>
      <c r="H10" s="585">
        <v>7357.5278474838351</v>
      </c>
      <c r="I10" s="610">
        <v>7.9778019490201524E-2</v>
      </c>
      <c r="J10" s="585">
        <v>6164</v>
      </c>
      <c r="K10" s="610">
        <v>6.6836541068040115E-2</v>
      </c>
    </row>
    <row r="11" spans="1:12" x14ac:dyDescent="0.5">
      <c r="A11" s="391" t="s">
        <v>737</v>
      </c>
      <c r="B11" s="391">
        <v>2008</v>
      </c>
      <c r="C11" s="585">
        <v>140.80020300135973</v>
      </c>
      <c r="D11" s="585">
        <v>99.332040348700417</v>
      </c>
      <c r="E11" s="585">
        <v>80089</v>
      </c>
      <c r="F11" s="585">
        <v>3645</v>
      </c>
      <c r="G11" s="585">
        <v>278.38774892700258</v>
      </c>
      <c r="H11" s="585">
        <v>518.51999227706278</v>
      </c>
      <c r="I11" s="610">
        <v>6.474297247775135E-3</v>
      </c>
      <c r="J11" s="585">
        <v>3645</v>
      </c>
      <c r="K11" s="610">
        <v>4.5511868046797938E-2</v>
      </c>
      <c r="L11" s="601"/>
    </row>
    <row r="12" spans="1:12" x14ac:dyDescent="0.5">
      <c r="A12" s="391" t="s">
        <v>737</v>
      </c>
      <c r="B12" s="391">
        <v>2009</v>
      </c>
      <c r="C12" s="585">
        <v>239.34612743059159</v>
      </c>
      <c r="D12" s="585">
        <v>411.76228187233363</v>
      </c>
      <c r="E12" s="585">
        <v>153068</v>
      </c>
      <c r="F12" s="585">
        <v>7948</v>
      </c>
      <c r="G12" s="585">
        <v>885.7212309555689</v>
      </c>
      <c r="H12" s="585">
        <v>1536.8296402584942</v>
      </c>
      <c r="I12" s="610">
        <v>1.0040175871236928E-2</v>
      </c>
      <c r="J12" s="585">
        <v>7948</v>
      </c>
      <c r="K12" s="610">
        <v>5.1924634802832728E-2</v>
      </c>
    </row>
    <row r="13" spans="1:12" x14ac:dyDescent="0.5">
      <c r="A13" s="391" t="s">
        <v>737</v>
      </c>
      <c r="B13" s="391">
        <v>2010</v>
      </c>
      <c r="C13" s="585">
        <v>209.67110813167426</v>
      </c>
      <c r="D13" s="585">
        <v>275.85440285930315</v>
      </c>
      <c r="E13" s="585">
        <v>120328</v>
      </c>
      <c r="F13" s="585">
        <v>4816</v>
      </c>
      <c r="G13" s="585">
        <v>449.16614215340701</v>
      </c>
      <c r="H13" s="585">
        <v>934.69165314438442</v>
      </c>
      <c r="I13" s="610">
        <v>7.7678649453525733E-3</v>
      </c>
      <c r="J13" s="585">
        <v>4816</v>
      </c>
      <c r="K13" s="610">
        <v>4.00239345788179E-2</v>
      </c>
    </row>
    <row r="14" spans="1:12" x14ac:dyDescent="0.5">
      <c r="A14" s="391" t="s">
        <v>737</v>
      </c>
      <c r="B14" s="391">
        <v>2011</v>
      </c>
      <c r="C14" s="585">
        <v>291.79943482367264</v>
      </c>
      <c r="D14" s="585">
        <v>730.84863877403347</v>
      </c>
      <c r="E14" s="585">
        <v>116755</v>
      </c>
      <c r="F14" s="585">
        <v>6876</v>
      </c>
      <c r="G14" s="585">
        <v>587.81629138482924</v>
      </c>
      <c r="H14" s="585">
        <v>1610.4643649825352</v>
      </c>
      <c r="I14" s="610">
        <v>1.3793536593572311E-2</v>
      </c>
      <c r="J14" s="585">
        <v>6876</v>
      </c>
      <c r="K14" s="610">
        <v>5.8892552781465463E-2</v>
      </c>
    </row>
    <row r="15" spans="1:12" x14ac:dyDescent="0.5">
      <c r="A15" s="391" t="s">
        <v>737</v>
      </c>
      <c r="B15" s="391">
        <v>2012</v>
      </c>
      <c r="C15" s="585">
        <v>141.62896608448114</v>
      </c>
      <c r="D15" s="585">
        <v>307.7323612539958</v>
      </c>
      <c r="E15" s="585">
        <v>70412</v>
      </c>
      <c r="F15" s="585">
        <v>4225</v>
      </c>
      <c r="G15" s="585">
        <v>324.11175243626803</v>
      </c>
      <c r="H15" s="585">
        <v>773.47307977474497</v>
      </c>
      <c r="I15" s="610">
        <v>1.0984961082979392E-2</v>
      </c>
      <c r="J15" s="585">
        <v>4225</v>
      </c>
      <c r="K15" s="610">
        <v>6.0003976594898596E-2</v>
      </c>
    </row>
    <row r="16" spans="1:12" x14ac:dyDescent="0.5">
      <c r="A16" s="391" t="s">
        <v>737</v>
      </c>
      <c r="B16" s="391">
        <v>2013</v>
      </c>
      <c r="C16" s="585">
        <v>207.58457640962186</v>
      </c>
      <c r="D16" s="585">
        <v>644.51910294021036</v>
      </c>
      <c r="E16" s="585">
        <v>93281</v>
      </c>
      <c r="F16" s="585">
        <v>6149</v>
      </c>
      <c r="G16" s="585">
        <v>577.82738638479361</v>
      </c>
      <c r="H16" s="585">
        <v>1429.9310657346259</v>
      </c>
      <c r="I16" s="610">
        <v>1.5329285339293381E-2</v>
      </c>
      <c r="J16" s="585">
        <v>6149</v>
      </c>
      <c r="K16" s="610">
        <v>6.5919104640816462E-2</v>
      </c>
    </row>
    <row r="17" spans="1:11" x14ac:dyDescent="0.5">
      <c r="A17" s="391" t="s">
        <v>737</v>
      </c>
      <c r="B17" s="391">
        <v>2014</v>
      </c>
      <c r="C17" s="585">
        <v>334.72546927751705</v>
      </c>
      <c r="D17" s="585">
        <v>514.29184760879275</v>
      </c>
      <c r="E17" s="585">
        <v>110951</v>
      </c>
      <c r="F17" s="585">
        <v>8453</v>
      </c>
      <c r="G17" s="585">
        <v>699.56277118445109</v>
      </c>
      <c r="H17" s="585">
        <v>1548.5800880707609</v>
      </c>
      <c r="I17" s="610">
        <v>1.3957333309936466E-2</v>
      </c>
      <c r="J17" s="585">
        <v>8453</v>
      </c>
      <c r="K17" s="610">
        <v>7.6186785157411827E-2</v>
      </c>
    </row>
    <row r="18" spans="1:11" x14ac:dyDescent="0.5">
      <c r="A18" s="391" t="s">
        <v>737</v>
      </c>
      <c r="B18" s="391">
        <v>2015</v>
      </c>
      <c r="C18" s="585">
        <v>171.75537026662801</v>
      </c>
      <c r="D18" s="585">
        <v>257.74064216348177</v>
      </c>
      <c r="E18" s="585">
        <v>85158</v>
      </c>
      <c r="F18" s="585">
        <v>5384</v>
      </c>
      <c r="G18" s="585">
        <v>742.03799405492191</v>
      </c>
      <c r="H18" s="585">
        <v>1171.5340064850316</v>
      </c>
      <c r="I18" s="610">
        <v>1.3757180846016012E-2</v>
      </c>
      <c r="J18" s="585">
        <v>5384</v>
      </c>
      <c r="K18" s="610">
        <v>6.3223654853331451E-2</v>
      </c>
    </row>
    <row r="19" spans="1:11" x14ac:dyDescent="0.5">
      <c r="A19" s="391" t="s">
        <v>737</v>
      </c>
      <c r="B19" s="391">
        <v>2016</v>
      </c>
      <c r="C19" s="585">
        <v>146.85276444829685</v>
      </c>
      <c r="D19" s="585">
        <v>83.084849637173846</v>
      </c>
      <c r="E19" s="585">
        <v>36665</v>
      </c>
      <c r="F19" s="585">
        <v>3141</v>
      </c>
      <c r="G19" s="585">
        <v>121.80954062434108</v>
      </c>
      <c r="H19" s="585">
        <v>351.74715470981175</v>
      </c>
      <c r="I19" s="610">
        <v>9.5935402893716562E-3</v>
      </c>
      <c r="J19" s="585">
        <v>3141</v>
      </c>
      <c r="K19" s="610">
        <v>8.5667530342288287E-2</v>
      </c>
    </row>
    <row r="20" spans="1:11" x14ac:dyDescent="0.5">
      <c r="A20" s="391" t="s">
        <v>738</v>
      </c>
      <c r="B20" s="391">
        <v>2008</v>
      </c>
      <c r="C20" s="585">
        <v>269.7606036177412</v>
      </c>
      <c r="D20" s="585">
        <v>562.22421573311135</v>
      </c>
      <c r="E20" s="585">
        <v>76246</v>
      </c>
      <c r="F20" s="585">
        <v>11518</v>
      </c>
      <c r="G20" s="585">
        <v>4862.8097052041649</v>
      </c>
      <c r="H20" s="585">
        <v>5694.7945245550172</v>
      </c>
      <c r="I20" s="610">
        <v>7.4689747980943494E-2</v>
      </c>
      <c r="J20" s="585">
        <v>11518</v>
      </c>
      <c r="K20" s="610">
        <v>0.15106366235605803</v>
      </c>
    </row>
    <row r="21" spans="1:11" x14ac:dyDescent="0.5">
      <c r="A21" s="391" t="s">
        <v>738</v>
      </c>
      <c r="B21" s="391">
        <v>2009</v>
      </c>
      <c r="C21" s="585">
        <v>67.767798702982205</v>
      </c>
      <c r="D21" s="585">
        <v>275.60160769753168</v>
      </c>
      <c r="E21" s="585">
        <v>28834</v>
      </c>
      <c r="F21" s="585">
        <v>5354</v>
      </c>
      <c r="G21" s="585">
        <v>5976.1470240261315</v>
      </c>
      <c r="H21" s="585">
        <v>6319.5164304266455</v>
      </c>
      <c r="I21" s="610">
        <v>0.21916891275669853</v>
      </c>
      <c r="J21" s="585">
        <v>5354</v>
      </c>
      <c r="K21" s="610">
        <v>0.1856835680099882</v>
      </c>
    </row>
    <row r="22" spans="1:11" x14ac:dyDescent="0.5">
      <c r="A22" s="391" t="s">
        <v>738</v>
      </c>
      <c r="B22" s="391">
        <v>2010</v>
      </c>
      <c r="C22" s="585">
        <v>210.19418133916741</v>
      </c>
      <c r="D22" s="585">
        <v>953.84235899257476</v>
      </c>
      <c r="E22" s="585">
        <v>60073</v>
      </c>
      <c r="F22" s="585">
        <v>9809</v>
      </c>
      <c r="G22" s="585">
        <v>5236.6978138905652</v>
      </c>
      <c r="H22" s="585">
        <v>6400.734354222307</v>
      </c>
      <c r="I22" s="610">
        <v>0.10654927095737364</v>
      </c>
      <c r="J22" s="585">
        <v>9809</v>
      </c>
      <c r="K22" s="610">
        <v>0.16328467031778005</v>
      </c>
    </row>
    <row r="23" spans="1:11" x14ac:dyDescent="0.5">
      <c r="A23" s="391" t="s">
        <v>738</v>
      </c>
      <c r="B23" s="391">
        <v>2011</v>
      </c>
      <c r="C23" s="585">
        <v>235.53269311925885</v>
      </c>
      <c r="D23" s="585">
        <v>861.97177991557055</v>
      </c>
      <c r="E23" s="585">
        <v>24473</v>
      </c>
      <c r="F23" s="585">
        <v>5547</v>
      </c>
      <c r="G23" s="585">
        <v>2906.7631484980748</v>
      </c>
      <c r="H23" s="585">
        <v>4004.2676215329043</v>
      </c>
      <c r="I23" s="610">
        <v>0.16361981046593815</v>
      </c>
      <c r="J23" s="585">
        <v>5547</v>
      </c>
      <c r="K23" s="610">
        <v>0.22665794957708496</v>
      </c>
    </row>
    <row r="24" spans="1:11" x14ac:dyDescent="0.5">
      <c r="A24" s="391" t="s">
        <v>738</v>
      </c>
      <c r="B24" s="391">
        <v>2012</v>
      </c>
      <c r="C24" s="585">
        <v>65.320412432822138</v>
      </c>
      <c r="D24" s="585">
        <v>492.02848497884668</v>
      </c>
      <c r="E24" s="585">
        <v>18464</v>
      </c>
      <c r="F24" s="585">
        <v>2462</v>
      </c>
      <c r="G24" s="585">
        <v>3542.4755472472589</v>
      </c>
      <c r="H24" s="585">
        <v>4099.8244446589279</v>
      </c>
      <c r="I24" s="610">
        <v>0.22204421818993328</v>
      </c>
      <c r="J24" s="585">
        <v>2462</v>
      </c>
      <c r="K24" s="610">
        <v>0.13334055459272098</v>
      </c>
    </row>
    <row r="25" spans="1:11" x14ac:dyDescent="0.5">
      <c r="A25" s="391" t="s">
        <v>738</v>
      </c>
      <c r="B25" s="391">
        <v>2013</v>
      </c>
      <c r="C25" s="585">
        <v>34.445116473445168</v>
      </c>
      <c r="D25" s="585">
        <v>94.156619336674765</v>
      </c>
      <c r="E25" s="585">
        <v>8348</v>
      </c>
      <c r="F25" s="585">
        <v>1097</v>
      </c>
      <c r="G25" s="585">
        <v>1273.802666733312</v>
      </c>
      <c r="H25" s="585">
        <v>1402.4044025434318</v>
      </c>
      <c r="I25" s="610">
        <v>0.16799286087008047</v>
      </c>
      <c r="J25" s="585">
        <v>1097</v>
      </c>
      <c r="K25" s="610">
        <v>0.1314087206516531</v>
      </c>
    </row>
    <row r="26" spans="1:11" x14ac:dyDescent="0.5">
      <c r="A26" s="391" t="s">
        <v>738</v>
      </c>
      <c r="B26" s="391">
        <v>2014</v>
      </c>
      <c r="C26" s="585">
        <v>119.23524915764213</v>
      </c>
      <c r="D26" s="585">
        <v>505.32328767123283</v>
      </c>
      <c r="E26" s="585">
        <v>30827</v>
      </c>
      <c r="F26" s="585">
        <v>3753</v>
      </c>
      <c r="G26" s="585">
        <v>3162.1777103993718</v>
      </c>
      <c r="H26" s="585">
        <v>3786.7362472282466</v>
      </c>
      <c r="I26" s="610">
        <v>0.12283829912830463</v>
      </c>
      <c r="J26" s="585">
        <v>3753</v>
      </c>
      <c r="K26" s="610">
        <v>0.12174392577934927</v>
      </c>
    </row>
    <row r="27" spans="1:11" x14ac:dyDescent="0.5">
      <c r="A27" s="391" t="s">
        <v>738</v>
      </c>
      <c r="B27" s="391">
        <v>2015</v>
      </c>
      <c r="C27" s="585">
        <v>54.942860152590896</v>
      </c>
      <c r="D27" s="585">
        <v>87.947021928588327</v>
      </c>
      <c r="E27" s="585">
        <v>9590</v>
      </c>
      <c r="F27" s="585">
        <v>1484</v>
      </c>
      <c r="G27" s="585">
        <v>2137.4640984213834</v>
      </c>
      <c r="H27" s="585">
        <v>2280.3539805025625</v>
      </c>
      <c r="I27" s="610">
        <v>0.23778456522445907</v>
      </c>
      <c r="J27" s="585">
        <v>1484</v>
      </c>
      <c r="K27" s="610">
        <v>0.15474452554744525</v>
      </c>
    </row>
    <row r="28" spans="1:11" x14ac:dyDescent="0.5">
      <c r="A28" s="391" t="s">
        <v>738</v>
      </c>
      <c r="B28" s="391">
        <v>2016</v>
      </c>
      <c r="C28" s="585">
        <v>71.551252805775036</v>
      </c>
      <c r="D28" s="585">
        <v>490.87800704127147</v>
      </c>
      <c r="E28" s="585">
        <v>33839</v>
      </c>
      <c r="F28" s="585">
        <v>2897</v>
      </c>
      <c r="G28" s="585">
        <v>4353.5984501463427</v>
      </c>
      <c r="H28" s="585">
        <v>4916.0277099933892</v>
      </c>
      <c r="I28" s="610">
        <v>0.14527697952047605</v>
      </c>
      <c r="J28" s="585">
        <v>2897</v>
      </c>
      <c r="K28" s="610">
        <v>8.5611276928987262E-2</v>
      </c>
    </row>
    <row r="29" spans="1:11" x14ac:dyDescent="0.5">
      <c r="A29" s="391" t="s">
        <v>739</v>
      </c>
      <c r="B29" s="391">
        <v>2008</v>
      </c>
      <c r="C29" s="585">
        <v>63.165175979890044</v>
      </c>
      <c r="D29" s="585">
        <v>21.967959651299587</v>
      </c>
      <c r="E29" s="585">
        <v>20088</v>
      </c>
      <c r="F29" s="585">
        <v>2673</v>
      </c>
      <c r="G29" s="585">
        <v>144.33145577187469</v>
      </c>
      <c r="H29" s="585">
        <v>229.46459140306433</v>
      </c>
      <c r="I29" s="610">
        <v>1.1422968508714871E-2</v>
      </c>
      <c r="J29" s="585">
        <v>2673</v>
      </c>
      <c r="K29" s="610">
        <v>0.13306451612903225</v>
      </c>
    </row>
    <row r="30" spans="1:11" x14ac:dyDescent="0.5">
      <c r="A30" s="391" t="s">
        <v>739</v>
      </c>
      <c r="B30" s="391">
        <v>2009</v>
      </c>
      <c r="C30" s="585">
        <v>29.480037341356383</v>
      </c>
      <c r="D30" s="585">
        <v>26.237718127666419</v>
      </c>
      <c r="E30" s="585">
        <v>14704</v>
      </c>
      <c r="F30" s="585">
        <v>2112</v>
      </c>
      <c r="G30" s="585">
        <v>278.12312436637689</v>
      </c>
      <c r="H30" s="585">
        <v>333.84087983539968</v>
      </c>
      <c r="I30" s="610">
        <v>2.2704085951809009E-2</v>
      </c>
      <c r="J30" s="585">
        <v>2112</v>
      </c>
      <c r="K30" s="610">
        <v>0.14363438520130578</v>
      </c>
    </row>
    <row r="31" spans="1:11" x14ac:dyDescent="0.5">
      <c r="A31" s="391" t="s">
        <v>739</v>
      </c>
      <c r="B31" s="391">
        <v>2010</v>
      </c>
      <c r="C31" s="585">
        <v>76.791177839687265</v>
      </c>
      <c r="D31" s="585">
        <v>63.545597140696863</v>
      </c>
      <c r="E31" s="585">
        <v>22552</v>
      </c>
      <c r="F31" s="585">
        <v>2992</v>
      </c>
      <c r="G31" s="585">
        <v>252.14297671701996</v>
      </c>
      <c r="H31" s="585">
        <v>392.47975169740408</v>
      </c>
      <c r="I31" s="610">
        <v>1.7403323505560665E-2</v>
      </c>
      <c r="J31" s="585">
        <v>2992</v>
      </c>
      <c r="K31" s="610">
        <v>0.13267115998581058</v>
      </c>
    </row>
    <row r="32" spans="1:11" x14ac:dyDescent="0.5">
      <c r="A32" s="391" t="s">
        <v>739</v>
      </c>
      <c r="B32" s="391">
        <v>2011</v>
      </c>
      <c r="C32" s="585">
        <v>31.449864590095412</v>
      </c>
      <c r="D32" s="585">
        <v>42.051361225966552</v>
      </c>
      <c r="E32" s="585">
        <v>7400</v>
      </c>
      <c r="F32" s="585">
        <v>2419</v>
      </c>
      <c r="G32" s="585">
        <v>96.085590779241073</v>
      </c>
      <c r="H32" s="585">
        <v>169.58681659530305</v>
      </c>
      <c r="I32" s="610">
        <v>2.2917137377743656E-2</v>
      </c>
      <c r="J32" s="585">
        <v>2419</v>
      </c>
      <c r="K32" s="610">
        <v>0.32689189189189188</v>
      </c>
    </row>
    <row r="33" spans="1:11" x14ac:dyDescent="0.5">
      <c r="A33" s="391" t="s">
        <v>739</v>
      </c>
      <c r="B33" s="391">
        <v>2012</v>
      </c>
      <c r="C33" s="585">
        <v>19.530504205062893</v>
      </c>
      <c r="D33" s="585">
        <v>38.667638746004279</v>
      </c>
      <c r="E33" s="585">
        <v>10004</v>
      </c>
      <c r="F33" s="585">
        <v>1268</v>
      </c>
      <c r="G33" s="585">
        <v>111.63018848668389</v>
      </c>
      <c r="H33" s="585">
        <v>169.82833143775105</v>
      </c>
      <c r="I33" s="610">
        <v>1.6976042726684432E-2</v>
      </c>
      <c r="J33" s="585">
        <v>1268</v>
      </c>
      <c r="K33" s="610">
        <v>0.12674930027988804</v>
      </c>
    </row>
    <row r="34" spans="1:11" x14ac:dyDescent="0.5">
      <c r="A34" s="391" t="s">
        <v>739</v>
      </c>
      <c r="B34" s="391">
        <v>2013</v>
      </c>
      <c r="C34" s="585">
        <v>11.237616395384823</v>
      </c>
      <c r="D34" s="585">
        <v>2.5808970597895891</v>
      </c>
      <c r="E34" s="585">
        <v>3260</v>
      </c>
      <c r="F34" s="585">
        <v>510</v>
      </c>
      <c r="G34" s="585">
        <v>83.422152078187452</v>
      </c>
      <c r="H34" s="585">
        <v>97.240665533361863</v>
      </c>
      <c r="I34" s="610">
        <v>2.9828425010233701E-2</v>
      </c>
      <c r="J34" s="585">
        <v>510</v>
      </c>
      <c r="K34" s="610">
        <v>0.15644171779141106</v>
      </c>
    </row>
    <row r="35" spans="1:11" x14ac:dyDescent="0.5">
      <c r="A35" s="391" t="s">
        <v>739</v>
      </c>
      <c r="B35" s="391">
        <v>2014</v>
      </c>
      <c r="C35" s="585">
        <v>30.569233951251015</v>
      </c>
      <c r="D35" s="585">
        <v>12.608152391207319</v>
      </c>
      <c r="E35" s="585">
        <v>12904</v>
      </c>
      <c r="F35" s="585">
        <v>2111</v>
      </c>
      <c r="G35" s="585">
        <v>109.17620917971209</v>
      </c>
      <c r="H35" s="585">
        <v>152.35359552217042</v>
      </c>
      <c r="I35" s="610">
        <v>1.1806695251253132E-2</v>
      </c>
      <c r="J35" s="585">
        <v>2111</v>
      </c>
      <c r="K35" s="610">
        <v>0.16359268443893366</v>
      </c>
    </row>
    <row r="36" spans="1:11" x14ac:dyDescent="0.5">
      <c r="A36" s="391" t="s">
        <v>739</v>
      </c>
      <c r="B36" s="391">
        <v>2015</v>
      </c>
      <c r="C36" s="585">
        <v>14.970512524212193</v>
      </c>
      <c r="D36" s="585">
        <v>2.759357836518245</v>
      </c>
      <c r="E36" s="585">
        <v>5580</v>
      </c>
      <c r="F36" s="585">
        <v>802</v>
      </c>
      <c r="G36" s="585">
        <v>72.726109507158185</v>
      </c>
      <c r="H36" s="585">
        <v>90.45597986788863</v>
      </c>
      <c r="I36" s="610">
        <v>1.6210749080266779E-2</v>
      </c>
      <c r="J36" s="585">
        <v>802</v>
      </c>
      <c r="K36" s="610">
        <v>0.14372759856630823</v>
      </c>
    </row>
    <row r="37" spans="1:11" x14ac:dyDescent="0.5">
      <c r="A37" s="391" t="s">
        <v>739</v>
      </c>
      <c r="B37" s="391">
        <v>2016</v>
      </c>
      <c r="C37" s="585">
        <v>13.399889426098266</v>
      </c>
      <c r="D37" s="585">
        <v>3.2071794871794874</v>
      </c>
      <c r="E37" s="585">
        <v>9077</v>
      </c>
      <c r="F37" s="585">
        <v>1347</v>
      </c>
      <c r="G37" s="585">
        <v>31.323525907918917</v>
      </c>
      <c r="H37" s="585">
        <v>47.930594821196671</v>
      </c>
      <c r="I37" s="610">
        <v>5.280444510432596E-3</v>
      </c>
      <c r="J37" s="585">
        <v>1347</v>
      </c>
      <c r="K37" s="610">
        <v>0.14839704748264845</v>
      </c>
    </row>
    <row r="38" spans="1:11" x14ac:dyDescent="0.5">
      <c r="A38" s="391" t="s">
        <v>740</v>
      </c>
      <c r="B38" s="391">
        <v>2008</v>
      </c>
      <c r="C38" s="585">
        <v>332.92577959763122</v>
      </c>
      <c r="D38" s="585">
        <v>584.19217538441092</v>
      </c>
      <c r="E38" s="585">
        <v>96334</v>
      </c>
      <c r="F38" s="585">
        <v>14191</v>
      </c>
      <c r="G38" s="585">
        <v>5007.1411609760398</v>
      </c>
      <c r="H38" s="585">
        <v>5924.2591159580825</v>
      </c>
      <c r="I38" s="610">
        <v>6.1497073888326891E-2</v>
      </c>
      <c r="J38" s="585">
        <v>14191</v>
      </c>
      <c r="K38" s="610">
        <v>0.14731039923599146</v>
      </c>
    </row>
    <row r="39" spans="1:11" x14ac:dyDescent="0.5">
      <c r="A39" s="391" t="s">
        <v>740</v>
      </c>
      <c r="B39" s="391">
        <v>2009</v>
      </c>
      <c r="C39" s="585">
        <v>97.247836044338584</v>
      </c>
      <c r="D39" s="585">
        <v>301.8393258251981</v>
      </c>
      <c r="E39" s="585">
        <v>43538</v>
      </c>
      <c r="F39" s="585">
        <v>7466</v>
      </c>
      <c r="G39" s="585">
        <v>6254.2701483925084</v>
      </c>
      <c r="H39" s="585">
        <v>6653.3573102620448</v>
      </c>
      <c r="I39" s="610">
        <v>0.15281724723832157</v>
      </c>
      <c r="J39" s="585">
        <v>7466</v>
      </c>
      <c r="K39" s="610">
        <v>0.17148238320547568</v>
      </c>
    </row>
    <row r="40" spans="1:11" x14ac:dyDescent="0.5">
      <c r="A40" s="391" t="s">
        <v>740</v>
      </c>
      <c r="B40" s="391">
        <v>2010</v>
      </c>
      <c r="C40" s="585">
        <v>286.98535917885465</v>
      </c>
      <c r="D40" s="585">
        <v>1017.3879561332716</v>
      </c>
      <c r="E40" s="585">
        <v>82625</v>
      </c>
      <c r="F40" s="585">
        <v>12801</v>
      </c>
      <c r="G40" s="585">
        <v>5488.8407906075854</v>
      </c>
      <c r="H40" s="585">
        <v>6793.2141059197111</v>
      </c>
      <c r="I40" s="610">
        <v>8.2217417318241587E-2</v>
      </c>
      <c r="J40" s="585">
        <v>12801</v>
      </c>
      <c r="K40" s="610">
        <v>0.15492889561270801</v>
      </c>
    </row>
    <row r="41" spans="1:11" x14ac:dyDescent="0.5">
      <c r="A41" s="391" t="s">
        <v>740</v>
      </c>
      <c r="B41" s="391">
        <v>2011</v>
      </c>
      <c r="C41" s="585">
        <v>266.98255770935424</v>
      </c>
      <c r="D41" s="585">
        <v>904.02314114153705</v>
      </c>
      <c r="E41" s="585">
        <v>31873</v>
      </c>
      <c r="F41" s="585">
        <v>7966</v>
      </c>
      <c r="G41" s="585">
        <v>3002.8487392773159</v>
      </c>
      <c r="H41" s="585">
        <v>4173.8544381282072</v>
      </c>
      <c r="I41" s="610">
        <v>0.13095266959897742</v>
      </c>
      <c r="J41" s="585">
        <v>7966</v>
      </c>
      <c r="K41" s="610">
        <v>0.24992940733536223</v>
      </c>
    </row>
    <row r="42" spans="1:11" x14ac:dyDescent="0.5">
      <c r="A42" s="391" t="s">
        <v>740</v>
      </c>
      <c r="B42" s="391">
        <v>2012</v>
      </c>
      <c r="C42" s="585">
        <v>84.850916637885035</v>
      </c>
      <c r="D42" s="585">
        <v>530.69612372485096</v>
      </c>
      <c r="E42" s="585">
        <v>28468</v>
      </c>
      <c r="F42" s="585">
        <v>3730</v>
      </c>
      <c r="G42" s="585">
        <v>3654.1057357339428</v>
      </c>
      <c r="H42" s="585">
        <v>4269.6527760966783</v>
      </c>
      <c r="I42" s="610">
        <v>0.14998077757821687</v>
      </c>
      <c r="J42" s="585">
        <v>3730</v>
      </c>
      <c r="K42" s="610">
        <v>0.13102430799494169</v>
      </c>
    </row>
    <row r="43" spans="1:11" x14ac:dyDescent="0.5">
      <c r="A43" s="391" t="s">
        <v>740</v>
      </c>
      <c r="B43" s="391">
        <v>2013</v>
      </c>
      <c r="C43" s="585">
        <v>45.682732868829987</v>
      </c>
      <c r="D43" s="585">
        <v>96.737516396464358</v>
      </c>
      <c r="E43" s="585">
        <v>11608</v>
      </c>
      <c r="F43" s="585">
        <v>1607</v>
      </c>
      <c r="G43" s="585">
        <v>1357.2248188114995</v>
      </c>
      <c r="H43" s="585">
        <v>1499.6450680767939</v>
      </c>
      <c r="I43" s="610">
        <v>0.12919065024782855</v>
      </c>
      <c r="J43" s="585">
        <v>1607</v>
      </c>
      <c r="K43" s="610">
        <v>0.13843900758097863</v>
      </c>
    </row>
    <row r="44" spans="1:11" x14ac:dyDescent="0.5">
      <c r="A44" s="391" t="s">
        <v>740</v>
      </c>
      <c r="B44" s="391">
        <v>2014</v>
      </c>
      <c r="C44" s="585">
        <v>149.80448310889315</v>
      </c>
      <c r="D44" s="585">
        <v>517.93144006244017</v>
      </c>
      <c r="E44" s="585">
        <v>43731</v>
      </c>
      <c r="F44" s="585">
        <v>5864</v>
      </c>
      <c r="G44" s="585">
        <v>3271.353919579084</v>
      </c>
      <c r="H44" s="585">
        <v>3939.0898427504171</v>
      </c>
      <c r="I44" s="610">
        <v>9.0075457747374105E-2</v>
      </c>
      <c r="J44" s="585">
        <v>5864</v>
      </c>
      <c r="K44" s="610">
        <v>0.13409252018019255</v>
      </c>
    </row>
    <row r="45" spans="1:11" x14ac:dyDescent="0.5">
      <c r="A45" s="391" t="s">
        <v>740</v>
      </c>
      <c r="B45" s="391">
        <v>2015</v>
      </c>
      <c r="C45" s="585">
        <v>69.913372676803093</v>
      </c>
      <c r="D45" s="585">
        <v>90.706379765106576</v>
      </c>
      <c r="E45" s="585">
        <v>15170</v>
      </c>
      <c r="F45" s="585">
        <v>2286</v>
      </c>
      <c r="G45" s="585">
        <v>2210.1902079285414</v>
      </c>
      <c r="H45" s="585">
        <v>2370.8099603704513</v>
      </c>
      <c r="I45" s="610">
        <v>0.15628279237774895</v>
      </c>
      <c r="J45" s="585">
        <v>2286</v>
      </c>
      <c r="K45" s="610">
        <v>0.15069215557020435</v>
      </c>
    </row>
    <row r="46" spans="1:11" x14ac:dyDescent="0.5">
      <c r="A46" s="391" t="s">
        <v>740</v>
      </c>
      <c r="B46" s="391">
        <v>2016</v>
      </c>
      <c r="C46" s="585">
        <v>84.951142231873305</v>
      </c>
      <c r="D46" s="585">
        <v>494.08518652845095</v>
      </c>
      <c r="E46" s="585">
        <v>42916</v>
      </c>
      <c r="F46" s="585">
        <v>4244</v>
      </c>
      <c r="G46" s="585">
        <v>4384.9219760542619</v>
      </c>
      <c r="H46" s="585">
        <v>4963.958304814586</v>
      </c>
      <c r="I46" s="610">
        <v>0.11566684464569359</v>
      </c>
      <c r="J46" s="585">
        <v>4244</v>
      </c>
      <c r="K46" s="610">
        <v>9.889085655699506E-2</v>
      </c>
    </row>
    <row r="47" spans="1:11" x14ac:dyDescent="0.5">
      <c r="A47" s="391" t="s">
        <v>741</v>
      </c>
      <c r="B47" s="391">
        <v>2008</v>
      </c>
      <c r="C47" s="585">
        <v>860.00278822222219</v>
      </c>
      <c r="D47" s="585">
        <v>2709.3</v>
      </c>
      <c r="E47" s="585">
        <v>339252</v>
      </c>
      <c r="F47" s="585">
        <v>26339</v>
      </c>
      <c r="G47" s="585">
        <v>13318.200968905832</v>
      </c>
      <c r="H47" s="585">
        <v>16887.503757128055</v>
      </c>
      <c r="I47" s="610">
        <v>4.9778641709195687E-2</v>
      </c>
      <c r="J47" s="585">
        <v>26339</v>
      </c>
      <c r="K47" s="610">
        <v>7.7638451652458945E-2</v>
      </c>
    </row>
    <row r="48" spans="1:11" x14ac:dyDescent="0.5">
      <c r="A48" s="391" t="s">
        <v>741</v>
      </c>
      <c r="B48" s="391">
        <v>2009</v>
      </c>
      <c r="C48" s="585">
        <v>1076.4507067999998</v>
      </c>
      <c r="D48" s="585">
        <v>7763</v>
      </c>
      <c r="E48" s="585">
        <v>587735</v>
      </c>
      <c r="F48" s="585">
        <v>36754</v>
      </c>
      <c r="G48" s="585">
        <v>35400.886526887632</v>
      </c>
      <c r="H48" s="585">
        <v>44240.337233687635</v>
      </c>
      <c r="I48" s="610">
        <v>7.5272592637307012E-2</v>
      </c>
      <c r="J48" s="585">
        <v>36754</v>
      </c>
      <c r="K48" s="610">
        <v>6.2534986005597759E-2</v>
      </c>
    </row>
    <row r="49" spans="1:11" x14ac:dyDescent="0.5">
      <c r="A49" s="391" t="s">
        <v>741</v>
      </c>
      <c r="B49" s="391">
        <v>2010</v>
      </c>
      <c r="C49" s="585">
        <v>956.71728960852158</v>
      </c>
      <c r="D49" s="585">
        <v>6383.4000000000015</v>
      </c>
      <c r="E49" s="585">
        <v>381147</v>
      </c>
      <c r="F49" s="585">
        <v>27452</v>
      </c>
      <c r="G49" s="585">
        <v>16919.572370540802</v>
      </c>
      <c r="H49" s="585">
        <v>24259.689660149324</v>
      </c>
      <c r="I49" s="610">
        <v>6.3649168588889124E-2</v>
      </c>
      <c r="J49" s="585">
        <v>27452</v>
      </c>
      <c r="K49" s="610">
        <v>7.2024704379150303E-2</v>
      </c>
    </row>
    <row r="50" spans="1:11" x14ac:dyDescent="0.5">
      <c r="A50" s="391" t="s">
        <v>741</v>
      </c>
      <c r="B50" s="391">
        <v>2011</v>
      </c>
      <c r="C50" s="585">
        <v>1480.0689243803854</v>
      </c>
      <c r="D50" s="585">
        <v>12825.900000000001</v>
      </c>
      <c r="E50" s="585">
        <v>355121</v>
      </c>
      <c r="F50" s="585">
        <v>27499</v>
      </c>
      <c r="G50" s="585">
        <v>17783.722636881052</v>
      </c>
      <c r="H50" s="585">
        <v>32089.691561261439</v>
      </c>
      <c r="I50" s="610">
        <v>9.036269767561321E-2</v>
      </c>
      <c r="J50" s="585">
        <v>27499</v>
      </c>
      <c r="K50" s="610">
        <v>7.7435578295848462E-2</v>
      </c>
    </row>
    <row r="51" spans="1:11" x14ac:dyDescent="0.5">
      <c r="A51" s="391" t="s">
        <v>741</v>
      </c>
      <c r="B51" s="391">
        <v>2012</v>
      </c>
      <c r="C51" s="585">
        <v>644.22955891904871</v>
      </c>
      <c r="D51" s="585">
        <v>5964.4000000000005</v>
      </c>
      <c r="E51" s="585">
        <v>219857</v>
      </c>
      <c r="F51" s="585">
        <v>15211</v>
      </c>
      <c r="G51" s="585">
        <v>14193.71945698291</v>
      </c>
      <c r="H51" s="585">
        <v>20802.34901590196</v>
      </c>
      <c r="I51" s="610">
        <v>9.461763335214235E-2</v>
      </c>
      <c r="J51" s="585">
        <v>15211</v>
      </c>
      <c r="K51" s="610">
        <v>6.9185879912852438E-2</v>
      </c>
    </row>
    <row r="52" spans="1:11" x14ac:dyDescent="0.5">
      <c r="A52" s="391" t="s">
        <v>741</v>
      </c>
      <c r="B52" s="391">
        <v>2013</v>
      </c>
      <c r="C52" s="585">
        <v>609.27228523989743</v>
      </c>
      <c r="D52" s="585">
        <v>6786.1</v>
      </c>
      <c r="E52" s="585">
        <v>225586</v>
      </c>
      <c r="F52" s="585">
        <v>17157</v>
      </c>
      <c r="G52" s="585">
        <v>12520.186637957078</v>
      </c>
      <c r="H52" s="585">
        <v>19915.558923196975</v>
      </c>
      <c r="I52" s="610">
        <v>8.8283665312550316E-2</v>
      </c>
      <c r="J52" s="585">
        <v>17157</v>
      </c>
      <c r="K52" s="610">
        <v>7.6055251655687856E-2</v>
      </c>
    </row>
    <row r="53" spans="1:11" x14ac:dyDescent="0.5">
      <c r="A53" s="391" t="s">
        <v>741</v>
      </c>
      <c r="B53" s="391">
        <v>2014</v>
      </c>
      <c r="C53" s="585">
        <v>1011.39073</v>
      </c>
      <c r="D53" s="585">
        <v>6901.9</v>
      </c>
      <c r="E53" s="585">
        <v>307187</v>
      </c>
      <c r="F53" s="585">
        <v>25460</v>
      </c>
      <c r="G53" s="585">
        <v>15349.191660708306</v>
      </c>
      <c r="H53" s="585">
        <v>23262.482390708305</v>
      </c>
      <c r="I53" s="610">
        <v>7.5727431143597562E-2</v>
      </c>
      <c r="J53" s="585">
        <v>25460</v>
      </c>
      <c r="K53" s="610">
        <v>8.2881111505369698E-2</v>
      </c>
    </row>
    <row r="54" spans="1:11" x14ac:dyDescent="0.5">
      <c r="A54" s="391" t="s">
        <v>741</v>
      </c>
      <c r="B54" s="391">
        <v>2015</v>
      </c>
      <c r="C54" s="585">
        <v>658.77746586637716</v>
      </c>
      <c r="D54" s="585">
        <v>4472.5</v>
      </c>
      <c r="E54" s="585">
        <v>253230</v>
      </c>
      <c r="F54" s="585">
        <v>16571</v>
      </c>
      <c r="G54" s="585">
        <v>19928.26410356208</v>
      </c>
      <c r="H54" s="585">
        <v>25059.541569428457</v>
      </c>
      <c r="I54" s="610">
        <v>9.8959608140538072E-2</v>
      </c>
      <c r="J54" s="585">
        <v>16571</v>
      </c>
      <c r="K54" s="610">
        <v>6.5438534138925086E-2</v>
      </c>
    </row>
    <row r="55" spans="1:11" x14ac:dyDescent="0.5">
      <c r="A55" s="391" t="s">
        <v>741</v>
      </c>
      <c r="B55" s="391">
        <v>2016</v>
      </c>
      <c r="C55" s="585">
        <v>689.30821135162114</v>
      </c>
      <c r="D55" s="585">
        <v>1948.2920291243536</v>
      </c>
      <c r="E55" s="585">
        <v>171806</v>
      </c>
      <c r="F55" s="585">
        <v>13549</v>
      </c>
      <c r="G55" s="585">
        <v>10035.633066532258</v>
      </c>
      <c r="H55" s="585">
        <v>12673.233307008233</v>
      </c>
      <c r="I55" s="610">
        <v>7.3764788814175489E-2</v>
      </c>
      <c r="J55" s="585">
        <v>13549</v>
      </c>
      <c r="K55" s="610">
        <v>7.8862205045225425E-2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19"/>
  <sheetViews>
    <sheetView workbookViewId="0">
      <selection activeCell="D2" sqref="D2"/>
    </sheetView>
  </sheetViews>
  <sheetFormatPr defaultColWidth="8.87890625" defaultRowHeight="12.9" x14ac:dyDescent="0.5"/>
  <cols>
    <col min="1" max="21" width="10.76171875" style="605" customWidth="1"/>
    <col min="22" max="16384" width="8.87890625" style="494"/>
  </cols>
  <sheetData>
    <row r="1" spans="1:21" x14ac:dyDescent="0.5">
      <c r="A1" s="603" t="s">
        <v>82</v>
      </c>
      <c r="B1" s="603" t="s">
        <v>746</v>
      </c>
      <c r="C1" s="603" t="s">
        <v>747</v>
      </c>
      <c r="D1" s="603" t="s">
        <v>748</v>
      </c>
      <c r="E1" s="603" t="s">
        <v>749</v>
      </c>
      <c r="F1" s="603" t="s">
        <v>750</v>
      </c>
      <c r="G1" s="603" t="s">
        <v>751</v>
      </c>
      <c r="H1" s="603" t="s">
        <v>752</v>
      </c>
      <c r="I1" s="603" t="s">
        <v>753</v>
      </c>
      <c r="J1" s="603" t="s">
        <v>754</v>
      </c>
      <c r="K1" s="609" t="s">
        <v>742</v>
      </c>
      <c r="L1" s="605" t="s">
        <v>82</v>
      </c>
      <c r="M1" s="605" t="s">
        <v>696</v>
      </c>
      <c r="N1" s="605" t="s">
        <v>743</v>
      </c>
      <c r="O1" s="605" t="s">
        <v>744</v>
      </c>
      <c r="P1" s="605" t="s">
        <v>698</v>
      </c>
      <c r="Q1" s="605" t="s">
        <v>745</v>
      </c>
      <c r="R1" s="605" t="s">
        <v>723</v>
      </c>
      <c r="S1" s="605" t="s">
        <v>726</v>
      </c>
      <c r="T1" s="605" t="s">
        <v>724</v>
      </c>
      <c r="U1" s="605" t="s">
        <v>727</v>
      </c>
    </row>
    <row r="2" spans="1:21" x14ac:dyDescent="0.5">
      <c r="A2" s="603">
        <v>2016</v>
      </c>
      <c r="B2" s="604">
        <v>92225</v>
      </c>
      <c r="C2" s="604">
        <v>7519</v>
      </c>
      <c r="D2" s="604">
        <v>29146</v>
      </c>
      <c r="E2" s="604">
        <v>128890</v>
      </c>
      <c r="F2" s="604">
        <v>33839</v>
      </c>
      <c r="G2" s="604">
        <v>5608</v>
      </c>
      <c r="H2" s="604">
        <v>3469</v>
      </c>
      <c r="I2" s="604">
        <v>42916</v>
      </c>
      <c r="J2" s="604">
        <v>171806</v>
      </c>
      <c r="K2" s="605" t="s">
        <v>756</v>
      </c>
      <c r="L2" s="613">
        <v>2016</v>
      </c>
      <c r="M2" s="605">
        <v>458</v>
      </c>
      <c r="N2" s="605">
        <v>1371</v>
      </c>
      <c r="O2" s="605">
        <v>92225</v>
      </c>
      <c r="P2" s="605">
        <v>6164</v>
      </c>
      <c r="Q2" s="605">
        <v>5529</v>
      </c>
      <c r="R2" s="605">
        <v>7358</v>
      </c>
      <c r="S2" s="605">
        <v>7.9799999999999996E-2</v>
      </c>
      <c r="T2" s="605">
        <v>6164</v>
      </c>
      <c r="U2" s="605">
        <v>6.7000000000000004E-2</v>
      </c>
    </row>
    <row r="3" spans="1:21" x14ac:dyDescent="0.5">
      <c r="A3" s="603">
        <v>2017</v>
      </c>
      <c r="B3" s="604">
        <v>75690</v>
      </c>
      <c r="C3" s="604">
        <v>3117</v>
      </c>
      <c r="D3" s="604">
        <v>27909</v>
      </c>
      <c r="E3" s="604">
        <v>106776</v>
      </c>
      <c r="F3" s="604">
        <v>5019</v>
      </c>
      <c r="G3" s="603">
        <v>804</v>
      </c>
      <c r="H3" s="603">
        <v>751</v>
      </c>
      <c r="I3" s="604">
        <v>6574</v>
      </c>
      <c r="J3" s="604">
        <v>113350</v>
      </c>
      <c r="K3" s="605" t="s">
        <v>756</v>
      </c>
      <c r="L3" s="613">
        <v>2017</v>
      </c>
      <c r="M3" s="605">
        <v>250</v>
      </c>
      <c r="N3" s="605">
        <v>234</v>
      </c>
      <c r="O3" s="605">
        <v>75690</v>
      </c>
      <c r="P3" s="605">
        <v>5915</v>
      </c>
      <c r="Q3" s="605">
        <v>788</v>
      </c>
      <c r="R3" s="605">
        <v>1272</v>
      </c>
      <c r="S3" s="605">
        <v>1.6799999999999999E-2</v>
      </c>
      <c r="T3" s="605">
        <v>5915</v>
      </c>
      <c r="U3" s="605">
        <v>7.8100000000000003E-2</v>
      </c>
    </row>
    <row r="4" spans="1:21" x14ac:dyDescent="0.5">
      <c r="A4" s="603">
        <v>2018</v>
      </c>
      <c r="B4" s="604">
        <f>'T9'!C9</f>
        <v>45430</v>
      </c>
      <c r="C4" s="604">
        <f>'T9'!C10</f>
        <v>2183</v>
      </c>
      <c r="D4" s="604">
        <f>'T9'!C11</f>
        <v>21725</v>
      </c>
      <c r="E4" s="604">
        <f>'T9'!C7</f>
        <v>69338</v>
      </c>
      <c r="F4" s="604">
        <f>'T9'!C14</f>
        <v>19056</v>
      </c>
      <c r="G4" s="604">
        <f>'T9'!C15</f>
        <v>3224</v>
      </c>
      <c r="H4" s="604">
        <f>'T9'!C16</f>
        <v>2382</v>
      </c>
      <c r="I4" s="604">
        <f>'T9'!C12</f>
        <v>24662</v>
      </c>
      <c r="J4" s="604">
        <f>'T9'!C17</f>
        <v>94000</v>
      </c>
      <c r="K4" s="605" t="s">
        <v>756</v>
      </c>
      <c r="L4" s="613">
        <v>2018</v>
      </c>
      <c r="M4" s="605">
        <v>77</v>
      </c>
      <c r="N4" s="605">
        <v>1145</v>
      </c>
      <c r="O4" s="605">
        <v>45430</v>
      </c>
      <c r="P4" s="605">
        <v>3843</v>
      </c>
      <c r="Q4" s="605">
        <v>1090</v>
      </c>
      <c r="R4" s="605">
        <v>2312</v>
      </c>
      <c r="S4" s="605">
        <v>5.0891481399955973E-2</v>
      </c>
      <c r="T4" s="605">
        <v>3843</v>
      </c>
      <c r="U4" s="605">
        <v>8.4591679506933748E-2</v>
      </c>
    </row>
    <row r="5" spans="1:21" x14ac:dyDescent="0.5">
      <c r="K5" s="391" t="s">
        <v>757</v>
      </c>
      <c r="L5" s="613">
        <v>2016</v>
      </c>
      <c r="M5" s="605">
        <v>147</v>
      </c>
      <c r="N5" s="605">
        <v>83</v>
      </c>
      <c r="O5" s="605">
        <v>36665</v>
      </c>
      <c r="P5" s="605">
        <v>3141</v>
      </c>
      <c r="Q5" s="605">
        <v>122</v>
      </c>
      <c r="R5" s="605">
        <v>352</v>
      </c>
      <c r="S5" s="605">
        <v>9.5999999999999992E-3</v>
      </c>
      <c r="T5" s="605">
        <v>3141</v>
      </c>
      <c r="U5" s="605">
        <v>8.5999999999999993E-2</v>
      </c>
    </row>
    <row r="6" spans="1:21" x14ac:dyDescent="0.5">
      <c r="K6" s="391" t="s">
        <v>757</v>
      </c>
      <c r="L6" s="613">
        <v>2017</v>
      </c>
      <c r="M6" s="605">
        <v>84</v>
      </c>
      <c r="N6" s="605">
        <v>58</v>
      </c>
      <c r="O6" s="605">
        <v>31026</v>
      </c>
      <c r="P6" s="605">
        <v>2133</v>
      </c>
      <c r="Q6" s="605">
        <v>224</v>
      </c>
      <c r="R6" s="605">
        <v>366</v>
      </c>
      <c r="S6" s="605">
        <v>1.18E-2</v>
      </c>
      <c r="T6" s="605">
        <v>2133</v>
      </c>
      <c r="U6" s="605">
        <v>6.8699999999999997E-2</v>
      </c>
    </row>
    <row r="7" spans="1:21" x14ac:dyDescent="0.5">
      <c r="K7" s="391" t="s">
        <v>757</v>
      </c>
      <c r="L7" s="613">
        <v>2018</v>
      </c>
      <c r="M7" s="605">
        <v>32</v>
      </c>
      <c r="N7" s="605">
        <v>79</v>
      </c>
      <c r="O7" s="605">
        <v>23908</v>
      </c>
      <c r="P7" s="605">
        <v>1080</v>
      </c>
      <c r="Q7" s="605">
        <v>203</v>
      </c>
      <c r="R7" s="605">
        <v>314</v>
      </c>
      <c r="S7" s="605">
        <v>1.3133679103229044E-2</v>
      </c>
      <c r="T7" s="605">
        <v>1080</v>
      </c>
      <c r="U7" s="605">
        <v>4.5173163794545758E-2</v>
      </c>
    </row>
    <row r="8" spans="1:21" x14ac:dyDescent="0.5">
      <c r="K8" s="391" t="s">
        <v>755</v>
      </c>
      <c r="L8" s="613">
        <v>2016</v>
      </c>
      <c r="M8" s="605">
        <v>72</v>
      </c>
      <c r="N8" s="605">
        <v>491</v>
      </c>
      <c r="O8" s="605">
        <v>33839</v>
      </c>
      <c r="P8" s="605">
        <v>2897</v>
      </c>
      <c r="Q8" s="605">
        <v>4354</v>
      </c>
      <c r="R8" s="605">
        <v>4916</v>
      </c>
      <c r="S8" s="605">
        <v>0.14530000000000001</v>
      </c>
      <c r="T8" s="605">
        <v>2897</v>
      </c>
      <c r="U8" s="605">
        <v>8.5999999999999993E-2</v>
      </c>
    </row>
    <row r="9" spans="1:21" x14ac:dyDescent="0.5">
      <c r="K9" s="391" t="s">
        <v>755</v>
      </c>
      <c r="L9" s="613">
        <v>2017</v>
      </c>
      <c r="M9" s="605">
        <v>32</v>
      </c>
      <c r="N9" s="605">
        <v>31</v>
      </c>
      <c r="O9" s="605">
        <v>5019</v>
      </c>
      <c r="P9" s="605">
        <v>262</v>
      </c>
      <c r="Q9" s="605">
        <v>94</v>
      </c>
      <c r="R9" s="605">
        <v>157</v>
      </c>
      <c r="S9" s="605">
        <v>3.1300000000000001E-2</v>
      </c>
      <c r="T9" s="605">
        <v>262</v>
      </c>
      <c r="U9" s="605">
        <v>5.2200000000000003E-2</v>
      </c>
    </row>
    <row r="10" spans="1:21" x14ac:dyDescent="0.5">
      <c r="K10" s="391" t="s">
        <v>755</v>
      </c>
      <c r="L10" s="613">
        <v>2018</v>
      </c>
      <c r="M10" s="605">
        <v>19</v>
      </c>
      <c r="N10" s="605">
        <v>105</v>
      </c>
      <c r="O10" s="605">
        <v>19056</v>
      </c>
      <c r="P10" s="605">
        <v>981</v>
      </c>
      <c r="Q10" s="605">
        <v>166</v>
      </c>
      <c r="R10" s="605">
        <v>290</v>
      </c>
      <c r="S10" s="605">
        <v>1.5218303946263645E-2</v>
      </c>
      <c r="T10" s="605">
        <v>981</v>
      </c>
      <c r="U10" s="605">
        <v>5.1479848866498742E-2</v>
      </c>
    </row>
    <row r="11" spans="1:21" x14ac:dyDescent="0.5">
      <c r="K11" s="391" t="s">
        <v>758</v>
      </c>
      <c r="L11" s="613">
        <v>2016</v>
      </c>
      <c r="M11" s="605">
        <v>13</v>
      </c>
      <c r="N11" s="605">
        <v>3</v>
      </c>
      <c r="O11" s="605">
        <v>8637</v>
      </c>
      <c r="P11" s="605">
        <v>1347</v>
      </c>
      <c r="Q11" s="605">
        <v>31</v>
      </c>
      <c r="R11" s="605">
        <v>48</v>
      </c>
      <c r="S11" s="605">
        <v>5.5999999999999999E-3</v>
      </c>
      <c r="T11" s="605">
        <v>1347</v>
      </c>
      <c r="U11" s="605">
        <v>0.156</v>
      </c>
    </row>
    <row r="12" spans="1:21" x14ac:dyDescent="0.5">
      <c r="K12" s="391" t="s">
        <v>758</v>
      </c>
      <c r="L12" s="613">
        <v>2017</v>
      </c>
      <c r="M12" s="605">
        <v>16</v>
      </c>
      <c r="N12" s="605">
        <v>3</v>
      </c>
      <c r="O12" s="605">
        <v>1555</v>
      </c>
      <c r="P12" s="605">
        <v>129</v>
      </c>
      <c r="Q12" s="605">
        <v>18</v>
      </c>
      <c r="R12" s="605">
        <v>37</v>
      </c>
      <c r="S12" s="605">
        <v>2.3800000000000002E-2</v>
      </c>
      <c r="T12" s="605">
        <v>129</v>
      </c>
      <c r="U12" s="605">
        <v>8.3000000000000004E-2</v>
      </c>
    </row>
    <row r="13" spans="1:21" x14ac:dyDescent="0.5">
      <c r="K13" s="391" t="s">
        <v>758</v>
      </c>
      <c r="L13" s="613">
        <v>2018</v>
      </c>
      <c r="M13" s="605">
        <v>6</v>
      </c>
      <c r="N13" s="605">
        <v>6</v>
      </c>
      <c r="O13" s="605">
        <v>5606</v>
      </c>
      <c r="P13" s="605">
        <v>319</v>
      </c>
      <c r="Q13" s="605">
        <v>40</v>
      </c>
      <c r="R13" s="605">
        <v>52</v>
      </c>
      <c r="S13" s="605">
        <v>9.2757759543346408E-3</v>
      </c>
      <c r="T13" s="605">
        <v>319</v>
      </c>
      <c r="U13" s="605">
        <v>5.6903317873706741E-2</v>
      </c>
    </row>
    <row r="14" spans="1:21" x14ac:dyDescent="0.5">
      <c r="K14" s="391" t="s">
        <v>759</v>
      </c>
      <c r="L14" s="613">
        <v>2016</v>
      </c>
      <c r="M14" s="605">
        <v>85</v>
      </c>
      <c r="N14" s="605">
        <v>494</v>
      </c>
      <c r="O14" s="605">
        <v>42476</v>
      </c>
      <c r="P14" s="605">
        <v>4244</v>
      </c>
      <c r="Q14" s="605">
        <v>4385</v>
      </c>
      <c r="R14" s="605">
        <v>4964</v>
      </c>
      <c r="S14" s="605">
        <v>0.1169</v>
      </c>
      <c r="T14" s="605">
        <v>4244</v>
      </c>
      <c r="U14" s="605">
        <v>0.1</v>
      </c>
    </row>
    <row r="15" spans="1:21" x14ac:dyDescent="0.5">
      <c r="K15" s="391" t="s">
        <v>759</v>
      </c>
      <c r="L15" s="613">
        <v>2017</v>
      </c>
      <c r="M15" s="605">
        <v>48</v>
      </c>
      <c r="N15" s="605">
        <v>34</v>
      </c>
      <c r="O15" s="605">
        <v>6574</v>
      </c>
      <c r="P15" s="605">
        <v>391</v>
      </c>
      <c r="Q15" s="605">
        <v>112</v>
      </c>
      <c r="R15" s="605">
        <v>194</v>
      </c>
      <c r="S15" s="605">
        <v>2.9499999999999998E-2</v>
      </c>
      <c r="T15" s="605">
        <v>391</v>
      </c>
      <c r="U15" s="605">
        <v>5.9499999999999997E-2</v>
      </c>
    </row>
    <row r="16" spans="1:21" x14ac:dyDescent="0.5">
      <c r="K16" s="391" t="s">
        <v>759</v>
      </c>
      <c r="L16" s="613">
        <v>2018</v>
      </c>
      <c r="M16" s="605">
        <v>25</v>
      </c>
      <c r="N16" s="605">
        <v>111</v>
      </c>
      <c r="O16" s="605">
        <v>24662</v>
      </c>
      <c r="P16" s="605">
        <v>1301</v>
      </c>
      <c r="Q16" s="605">
        <v>206</v>
      </c>
      <c r="R16" s="605">
        <v>342</v>
      </c>
      <c r="S16" s="605">
        <v>1.386748844375963E-2</v>
      </c>
      <c r="T16" s="605">
        <v>1301</v>
      </c>
      <c r="U16" s="605">
        <v>5.2753223582839993E-2</v>
      </c>
    </row>
    <row r="17" spans="11:21" x14ac:dyDescent="0.5">
      <c r="K17" s="391" t="s">
        <v>741</v>
      </c>
      <c r="L17" s="613">
        <v>2016</v>
      </c>
      <c r="M17" s="605">
        <v>689</v>
      </c>
      <c r="N17" s="605">
        <v>1948</v>
      </c>
      <c r="O17" s="605">
        <v>171366</v>
      </c>
      <c r="P17" s="605">
        <v>13549</v>
      </c>
      <c r="Q17" s="605">
        <v>10036</v>
      </c>
      <c r="R17" s="605">
        <v>12673</v>
      </c>
      <c r="S17" s="605">
        <v>7.3999999999999996E-2</v>
      </c>
      <c r="T17" s="605">
        <v>13549</v>
      </c>
      <c r="U17" s="605">
        <v>7.9000000000000001E-2</v>
      </c>
    </row>
    <row r="18" spans="11:21" x14ac:dyDescent="0.5">
      <c r="K18" s="391" t="s">
        <v>741</v>
      </c>
      <c r="L18" s="613">
        <v>2017</v>
      </c>
      <c r="M18" s="605">
        <v>382</v>
      </c>
      <c r="N18" s="605">
        <v>326</v>
      </c>
      <c r="O18" s="605">
        <v>113350</v>
      </c>
      <c r="P18" s="605">
        <v>8439</v>
      </c>
      <c r="Q18" s="605">
        <v>1124</v>
      </c>
      <c r="R18" s="605">
        <v>1832</v>
      </c>
      <c r="S18" s="605">
        <v>1.6199999999999999E-2</v>
      </c>
      <c r="T18" s="605">
        <v>8439</v>
      </c>
      <c r="U18" s="605">
        <v>7.4499999999999997E-2</v>
      </c>
    </row>
    <row r="19" spans="11:21" x14ac:dyDescent="0.5">
      <c r="K19" s="391" t="s">
        <v>741</v>
      </c>
      <c r="L19" s="613">
        <v>2018</v>
      </c>
      <c r="M19" s="605">
        <v>134</v>
      </c>
      <c r="N19" s="605">
        <v>1335</v>
      </c>
      <c r="O19" s="605">
        <v>94000</v>
      </c>
      <c r="P19" s="605">
        <v>6208</v>
      </c>
      <c r="Q19" s="605">
        <v>1499</v>
      </c>
      <c r="R19" s="605">
        <v>2968</v>
      </c>
      <c r="S19" s="605">
        <v>3.1574468085106382E-2</v>
      </c>
      <c r="T19" s="605">
        <v>6208</v>
      </c>
      <c r="U19" s="605">
        <v>6.6042553191489356E-2</v>
      </c>
    </row>
  </sheetData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B050"/>
  </sheetPr>
  <dimension ref="A1:G13"/>
  <sheetViews>
    <sheetView workbookViewId="0">
      <selection activeCell="G1" sqref="G1"/>
    </sheetView>
  </sheetViews>
  <sheetFormatPr defaultColWidth="8.87890625" defaultRowHeight="12.9" x14ac:dyDescent="0.5"/>
  <cols>
    <col min="1" max="7" width="15.76171875" style="617" customWidth="1"/>
    <col min="8" max="16384" width="8.87890625" style="614"/>
  </cols>
  <sheetData>
    <row r="1" spans="1:7" s="615" customFormat="1" x14ac:dyDescent="0.5">
      <c r="A1" s="616" t="s">
        <v>82</v>
      </c>
      <c r="B1" s="616" t="s">
        <v>760</v>
      </c>
      <c r="C1" s="616" t="s">
        <v>761</v>
      </c>
      <c r="D1" s="616" t="s">
        <v>762</v>
      </c>
      <c r="E1" s="616" t="s">
        <v>763</v>
      </c>
      <c r="F1" s="616" t="s">
        <v>764</v>
      </c>
      <c r="G1" s="616" t="s">
        <v>765</v>
      </c>
    </row>
    <row r="2" spans="1:7" x14ac:dyDescent="0.5">
      <c r="A2" s="616">
        <v>2008</v>
      </c>
      <c r="B2" s="618">
        <v>7.5999999999999998E-2</v>
      </c>
      <c r="C2" s="618">
        <v>0.19900000000000001</v>
      </c>
      <c r="D2" s="618">
        <v>0.27500000000000002</v>
      </c>
      <c r="E2" s="618">
        <v>7.5999999999999998E-2</v>
      </c>
      <c r="F2" s="618">
        <v>0.19900000000000001</v>
      </c>
      <c r="G2" s="618">
        <v>0.27500000000000002</v>
      </c>
    </row>
    <row r="3" spans="1:7" x14ac:dyDescent="0.5">
      <c r="A3" s="616">
        <v>2009</v>
      </c>
      <c r="B3" s="618">
        <v>0.106</v>
      </c>
      <c r="C3" s="618">
        <v>0.27400000000000002</v>
      </c>
      <c r="D3" s="618">
        <v>0.38</v>
      </c>
      <c r="E3" s="618">
        <v>0.106</v>
      </c>
      <c r="F3" s="618">
        <v>0.27400000000000002</v>
      </c>
      <c r="G3" s="618">
        <v>0.38</v>
      </c>
    </row>
    <row r="4" spans="1:7" x14ac:dyDescent="0.5">
      <c r="A4" s="616">
        <v>2010</v>
      </c>
      <c r="B4" s="618">
        <v>0.08</v>
      </c>
      <c r="C4" s="618">
        <v>0.18</v>
      </c>
      <c r="D4" s="618">
        <v>0.26</v>
      </c>
      <c r="E4" s="618">
        <v>0.08</v>
      </c>
      <c r="F4" s="618">
        <v>0.18</v>
      </c>
      <c r="G4" s="618">
        <v>0.26</v>
      </c>
    </row>
    <row r="5" spans="1:7" x14ac:dyDescent="0.5">
      <c r="A5" s="616">
        <v>2011</v>
      </c>
      <c r="B5" s="618">
        <v>0.13400000000000001</v>
      </c>
      <c r="C5" s="618">
        <v>0.19600000000000001</v>
      </c>
      <c r="D5" s="618">
        <v>0.33</v>
      </c>
      <c r="E5" s="618">
        <v>0.13400000000000001</v>
      </c>
      <c r="F5" s="618">
        <v>0.19600000000000001</v>
      </c>
      <c r="G5" s="618">
        <v>0.33</v>
      </c>
    </row>
    <row r="6" spans="1:7" x14ac:dyDescent="0.5">
      <c r="A6" s="616">
        <v>2012</v>
      </c>
      <c r="B6" s="618">
        <v>0.14199999999999999</v>
      </c>
      <c r="C6" s="618">
        <v>0.20499999999999999</v>
      </c>
      <c r="D6" s="618">
        <v>0.34699999999999998</v>
      </c>
      <c r="E6" s="618">
        <v>0.14199999999999999</v>
      </c>
      <c r="F6" s="618">
        <v>0.20499999999999999</v>
      </c>
      <c r="G6" s="618">
        <v>0.34699999999999998</v>
      </c>
    </row>
    <row r="7" spans="1:7" x14ac:dyDescent="0.5">
      <c r="A7" s="616">
        <v>2013</v>
      </c>
      <c r="B7" s="618">
        <v>0.106</v>
      </c>
      <c r="C7" s="618">
        <v>0.20699999999999999</v>
      </c>
      <c r="D7" s="618">
        <v>0.313</v>
      </c>
      <c r="E7" s="618">
        <v>0.11</v>
      </c>
      <c r="F7" s="618">
        <v>0.20599999999999999</v>
      </c>
      <c r="G7" s="618">
        <v>0.316</v>
      </c>
    </row>
    <row r="8" spans="1:7" x14ac:dyDescent="0.5">
      <c r="A8" s="616">
        <v>2014</v>
      </c>
      <c r="B8" s="618">
        <v>0.122</v>
      </c>
      <c r="C8" s="618">
        <v>0.224</v>
      </c>
      <c r="D8" s="618">
        <v>0.34599999999999997</v>
      </c>
      <c r="E8" s="618">
        <v>0.126</v>
      </c>
      <c r="F8" s="618">
        <v>0.224</v>
      </c>
      <c r="G8" s="618">
        <v>0.35</v>
      </c>
    </row>
    <row r="9" spans="1:7" x14ac:dyDescent="0.5">
      <c r="A9" s="616">
        <v>2015</v>
      </c>
      <c r="B9" s="618">
        <v>0.112</v>
      </c>
      <c r="C9" s="618">
        <v>0.20100000000000001</v>
      </c>
      <c r="D9" s="618">
        <v>0.313</v>
      </c>
      <c r="E9" s="618">
        <v>0.115</v>
      </c>
      <c r="F9" s="618">
        <v>0.20100000000000001</v>
      </c>
      <c r="G9" s="618">
        <v>0.316</v>
      </c>
    </row>
    <row r="10" spans="1:7" x14ac:dyDescent="0.5">
      <c r="A10" s="616">
        <v>2016</v>
      </c>
      <c r="B10" s="618">
        <v>0.14599999999999999</v>
      </c>
      <c r="C10" s="618">
        <v>0.23300000000000001</v>
      </c>
      <c r="D10" s="618">
        <v>0.379</v>
      </c>
      <c r="E10" s="618">
        <v>0.14799999999999999</v>
      </c>
      <c r="F10" s="618">
        <v>0.23300000000000001</v>
      </c>
      <c r="G10" s="618">
        <v>0.38100000000000001</v>
      </c>
    </row>
    <row r="11" spans="1:7" x14ac:dyDescent="0.5">
      <c r="A11" s="616">
        <v>2017</v>
      </c>
      <c r="B11" s="618">
        <v>0.1595</v>
      </c>
      <c r="C11" s="618">
        <v>0.26340000000000002</v>
      </c>
      <c r="D11" s="618">
        <v>0.42290000000000005</v>
      </c>
      <c r="E11" s="618">
        <v>0.161</v>
      </c>
      <c r="F11" s="618">
        <v>0.26340000000000002</v>
      </c>
      <c r="G11" s="618">
        <v>0.4244</v>
      </c>
    </row>
    <row r="12" spans="1:7" x14ac:dyDescent="0.5">
      <c r="A12" s="616">
        <v>2018</v>
      </c>
      <c r="B12" s="618">
        <v>9.35E-2</v>
      </c>
      <c r="C12" s="618">
        <v>0.20219999999999999</v>
      </c>
      <c r="D12" s="618">
        <v>0.29569999999999996</v>
      </c>
      <c r="E12" s="618">
        <v>9.35E-2</v>
      </c>
      <c r="F12" s="618">
        <v>0.20219999999999999</v>
      </c>
      <c r="G12" s="618">
        <v>0.29569999999999996</v>
      </c>
    </row>
    <row r="13" spans="1:7" x14ac:dyDescent="0.5">
      <c r="B13" s="747"/>
      <c r="C13" s="747"/>
      <c r="D13" s="747"/>
      <c r="E13" s="747"/>
      <c r="F13" s="747"/>
      <c r="G13" s="747"/>
    </row>
  </sheetData>
  <mergeCells count="1">
    <mergeCell ref="B13:G13"/>
  </mergeCells>
  <pageMargins left="0.7" right="0.7" top="0.75" bottom="0.75" header="0.3" footer="0.3"/>
  <pageSetup orientation="portrait" horizontalDpi="90" verticalDpi="90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rgb="FF00B050"/>
  </sheetPr>
  <dimension ref="A1:L13"/>
  <sheetViews>
    <sheetView workbookViewId="0">
      <selection activeCell="M8" sqref="M8:M19"/>
    </sheetView>
  </sheetViews>
  <sheetFormatPr defaultColWidth="8.87890625" defaultRowHeight="12.9" x14ac:dyDescent="0.5"/>
  <cols>
    <col min="1" max="12" width="15.76171875" style="620" customWidth="1"/>
    <col min="13" max="13" width="12.41015625" style="493" bestFit="1" customWidth="1"/>
    <col min="14" max="14" width="8.87890625" style="493"/>
    <col min="15" max="15" width="11" style="493" bestFit="1" customWidth="1"/>
    <col min="16" max="16384" width="8.87890625" style="493"/>
  </cols>
  <sheetData>
    <row r="1" spans="1:12" x14ac:dyDescent="0.5">
      <c r="A1" s="605" t="s">
        <v>82</v>
      </c>
      <c r="B1" s="605" t="s">
        <v>766</v>
      </c>
      <c r="C1" s="605" t="s">
        <v>767</v>
      </c>
      <c r="D1" s="605" t="s">
        <v>707</v>
      </c>
      <c r="E1" s="605" t="s">
        <v>774</v>
      </c>
      <c r="F1" s="605" t="s">
        <v>729</v>
      </c>
      <c r="G1" s="605" t="s">
        <v>768</v>
      </c>
      <c r="H1" s="605" t="s">
        <v>769</v>
      </c>
      <c r="I1" s="605" t="s">
        <v>770</v>
      </c>
      <c r="J1" s="605" t="s">
        <v>771</v>
      </c>
      <c r="K1" s="605" t="s">
        <v>772</v>
      </c>
      <c r="L1" s="605" t="s">
        <v>773</v>
      </c>
    </row>
    <row r="2" spans="1:12" x14ac:dyDescent="0.5">
      <c r="A2" s="605">
        <v>2008</v>
      </c>
      <c r="B2" s="613">
        <v>379274.58924950042</v>
      </c>
      <c r="C2" s="613">
        <v>11823.084668192218</v>
      </c>
      <c r="D2" s="613">
        <v>367451.50458130823</v>
      </c>
      <c r="E2" s="613">
        <v>48831</v>
      </c>
      <c r="F2" s="613">
        <v>60654.084668192219</v>
      </c>
      <c r="G2" s="613">
        <v>106879.6285569199</v>
      </c>
      <c r="H2" s="613">
        <v>101103.95153961134</v>
      </c>
      <c r="I2" s="613">
        <v>278170.6377098891</v>
      </c>
      <c r="J2" s="613">
        <v>139085.31885494455</v>
      </c>
      <c r="K2" s="621">
        <v>0.2180463228166081</v>
      </c>
      <c r="L2" s="621">
        <v>0.38422325748265079</v>
      </c>
    </row>
    <row r="3" spans="1:12" x14ac:dyDescent="0.5">
      <c r="A3" s="605">
        <v>2009</v>
      </c>
      <c r="B3" s="613">
        <v>347387.59099350841</v>
      </c>
      <c r="C3" s="613">
        <v>13305.974315551792</v>
      </c>
      <c r="D3" s="613">
        <v>334081.6166779566</v>
      </c>
      <c r="E3" s="613">
        <v>51948</v>
      </c>
      <c r="F3" s="613">
        <v>65253.974315551794</v>
      </c>
      <c r="G3" s="613">
        <v>101979.82903267801</v>
      </c>
      <c r="H3" s="613">
        <v>93430.071429590782</v>
      </c>
      <c r="I3" s="613">
        <v>253957.51956391762</v>
      </c>
      <c r="J3" s="613">
        <v>126978.75978195881</v>
      </c>
      <c r="K3" s="621">
        <v>0.25694838423214422</v>
      </c>
      <c r="L3" s="621">
        <v>0.40156254954683901</v>
      </c>
    </row>
    <row r="4" spans="1:12" x14ac:dyDescent="0.5">
      <c r="A4" s="605">
        <v>2010</v>
      </c>
      <c r="B4" s="613">
        <v>583273.95555074676</v>
      </c>
      <c r="C4" s="613">
        <v>48661.465370370366</v>
      </c>
      <c r="D4" s="613">
        <v>534612.49018037645</v>
      </c>
      <c r="E4" s="613">
        <v>62559</v>
      </c>
      <c r="F4" s="613">
        <v>111220.46537037037</v>
      </c>
      <c r="G4" s="613">
        <v>139773.756140791</v>
      </c>
      <c r="H4" s="613">
        <v>93365.648625694026</v>
      </c>
      <c r="I4" s="613">
        <v>489908.30692505272</v>
      </c>
      <c r="J4" s="613">
        <v>244954.15346252636</v>
      </c>
      <c r="K4" s="621">
        <v>0.22702302410108985</v>
      </c>
      <c r="L4" s="621">
        <v>0.28530595249158308</v>
      </c>
    </row>
    <row r="5" spans="1:12" x14ac:dyDescent="0.5">
      <c r="A5" s="605">
        <v>2011</v>
      </c>
      <c r="B5" s="613">
        <v>503319.79207987816</v>
      </c>
      <c r="C5" s="613">
        <v>23728.649058632058</v>
      </c>
      <c r="D5" s="613">
        <v>479591.14302124613</v>
      </c>
      <c r="E5" s="613">
        <v>85735</v>
      </c>
      <c r="F5" s="613">
        <v>109463.64905863206</v>
      </c>
      <c r="G5" s="613">
        <v>136539.70601141712</v>
      </c>
      <c r="H5" s="613">
        <v>96050.16224787214</v>
      </c>
      <c r="I5" s="613">
        <v>407269.629832006</v>
      </c>
      <c r="J5" s="613">
        <v>203634.814916003</v>
      </c>
      <c r="K5" s="621">
        <v>0.26877439671547459</v>
      </c>
      <c r="L5" s="621">
        <v>0.33525629217120401</v>
      </c>
    </row>
    <row r="6" spans="1:12" x14ac:dyDescent="0.5">
      <c r="A6" s="391">
        <v>2012</v>
      </c>
      <c r="B6" s="585">
        <v>447568.51525342825</v>
      </c>
      <c r="C6" s="585">
        <v>31402.803972537338</v>
      </c>
      <c r="D6" s="585">
        <v>416165.71128089092</v>
      </c>
      <c r="E6" s="585">
        <v>85905</v>
      </c>
      <c r="F6" s="585">
        <v>117307.80397253734</v>
      </c>
      <c r="G6" s="585">
        <v>91114.243557671056</v>
      </c>
      <c r="H6" s="585">
        <v>86172.80793574985</v>
      </c>
      <c r="I6" s="585">
        <v>361395.70731767837</v>
      </c>
      <c r="J6" s="585">
        <v>180697.85365883919</v>
      </c>
      <c r="K6" s="622">
        <v>0.3245965616006059</v>
      </c>
      <c r="L6" s="622">
        <v>0.25211766966999066</v>
      </c>
    </row>
    <row r="7" spans="1:12" x14ac:dyDescent="0.5">
      <c r="A7" s="605">
        <v>2013</v>
      </c>
      <c r="B7" s="613">
        <v>1156404.7099571086</v>
      </c>
      <c r="C7" s="613">
        <v>42282</v>
      </c>
      <c r="D7" s="613">
        <v>1114122.7099571086</v>
      </c>
      <c r="E7" s="613">
        <v>178432.61170728423</v>
      </c>
      <c r="F7" s="613">
        <v>220714.61170728423</v>
      </c>
      <c r="G7" s="613">
        <v>269275.37509534252</v>
      </c>
      <c r="H7" s="613">
        <v>93260.638264234542</v>
      </c>
      <c r="I7" s="613">
        <v>1063144.071692874</v>
      </c>
      <c r="J7" s="613">
        <v>531572.03584643698</v>
      </c>
      <c r="K7" s="621">
        <v>0.20760555185698792</v>
      </c>
      <c r="L7" s="621">
        <v>0.25328211130083983</v>
      </c>
    </row>
    <row r="8" spans="1:12" x14ac:dyDescent="0.5">
      <c r="A8" s="605">
        <v>2014</v>
      </c>
      <c r="B8" s="613">
        <v>1109002.3869304813</v>
      </c>
      <c r="C8" s="613">
        <v>94030</v>
      </c>
      <c r="D8" s="613">
        <v>1014972.3869304813</v>
      </c>
      <c r="E8" s="613">
        <v>193027.91533737793</v>
      </c>
      <c r="F8" s="613">
        <v>193027.91533737793</v>
      </c>
      <c r="G8" s="613">
        <v>315438.49086737685</v>
      </c>
      <c r="H8" s="613">
        <v>86774.433750205935</v>
      </c>
      <c r="I8" s="613">
        <v>928197.95318027539</v>
      </c>
      <c r="J8" s="613">
        <v>464098.9765901377</v>
      </c>
      <c r="K8" s="621">
        <v>0.20795985885985668</v>
      </c>
      <c r="L8" s="621">
        <v>0.33983967513243601</v>
      </c>
    </row>
    <row r="9" spans="1:12" x14ac:dyDescent="0.5">
      <c r="A9" s="605">
        <v>2015</v>
      </c>
      <c r="B9" s="585">
        <v>1231195.1075950766</v>
      </c>
      <c r="C9" s="585">
        <v>98290</v>
      </c>
      <c r="D9" s="585">
        <v>1132905.1075950766</v>
      </c>
      <c r="E9" s="585">
        <v>199043</v>
      </c>
      <c r="F9" s="585">
        <v>297333</v>
      </c>
      <c r="G9" s="585">
        <v>289941.16296296299</v>
      </c>
      <c r="H9" s="585">
        <v>83324.159286426919</v>
      </c>
      <c r="I9" s="585">
        <v>1147870.9483086497</v>
      </c>
      <c r="J9" s="585">
        <v>573935.47415432485</v>
      </c>
      <c r="K9" s="622">
        <v>0.25902998977203007</v>
      </c>
      <c r="L9" s="622">
        <v>0.25259038343132717</v>
      </c>
    </row>
    <row r="10" spans="1:12" x14ac:dyDescent="0.5">
      <c r="A10" s="605">
        <v>2016</v>
      </c>
      <c r="B10" s="585">
        <v>554570</v>
      </c>
      <c r="C10" s="585">
        <v>23640</v>
      </c>
      <c r="D10" s="585">
        <v>530930</v>
      </c>
      <c r="E10" s="585">
        <v>103130</v>
      </c>
      <c r="F10" s="585">
        <v>126770</v>
      </c>
      <c r="G10" s="585">
        <v>131640</v>
      </c>
      <c r="H10" s="585">
        <v>84632</v>
      </c>
      <c r="I10" s="585">
        <v>469938</v>
      </c>
      <c r="J10" s="585">
        <v>234969</v>
      </c>
      <c r="K10" s="622">
        <v>0.26975898948371912</v>
      </c>
      <c r="L10" s="622">
        <v>0.28012205865454592</v>
      </c>
    </row>
    <row r="11" spans="1:12" x14ac:dyDescent="0.5">
      <c r="A11" s="605">
        <v>2017</v>
      </c>
      <c r="B11" s="585">
        <v>419222</v>
      </c>
      <c r="C11" s="585">
        <v>33350.590655515502</v>
      </c>
      <c r="D11" s="585">
        <v>392829</v>
      </c>
      <c r="E11" s="585">
        <v>79608</v>
      </c>
      <c r="F11" s="585">
        <v>113147</v>
      </c>
      <c r="G11" s="585">
        <v>121188</v>
      </c>
      <c r="H11" s="585">
        <v>86628</v>
      </c>
      <c r="I11" s="585">
        <v>332594</v>
      </c>
      <c r="J11" s="585">
        <v>166297</v>
      </c>
      <c r="K11" s="622">
        <v>0.34019555373819133</v>
      </c>
      <c r="L11" s="622">
        <v>0.3643721774896721</v>
      </c>
    </row>
    <row r="12" spans="1:12" x14ac:dyDescent="0.5">
      <c r="A12" s="605">
        <v>2018</v>
      </c>
      <c r="B12" s="585">
        <v>226762.48667290888</v>
      </c>
      <c r="C12" s="585">
        <v>12849.486672908879</v>
      </c>
      <c r="D12" s="585">
        <v>213913</v>
      </c>
      <c r="E12" s="585">
        <v>37502</v>
      </c>
      <c r="F12" s="613">
        <v>50351.486672908883</v>
      </c>
      <c r="G12" s="585">
        <v>55929</v>
      </c>
      <c r="H12" s="585">
        <v>89223</v>
      </c>
      <c r="I12" s="585">
        <v>137539.48667290888</v>
      </c>
      <c r="J12" s="585">
        <v>68769.743336454441</v>
      </c>
      <c r="K12" s="622">
        <v>0.36608749887697961</v>
      </c>
      <c r="L12" s="622">
        <v>0.40663958658656474</v>
      </c>
    </row>
    <row r="13" spans="1:12" x14ac:dyDescent="0.5">
      <c r="A13" s="605"/>
      <c r="B13" s="584"/>
      <c r="C13" s="584"/>
      <c r="D13" s="584"/>
      <c r="E13" s="584"/>
      <c r="F13" s="584"/>
      <c r="G13" s="584"/>
      <c r="H13" s="584"/>
      <c r="I13" s="584"/>
      <c r="J13" s="584"/>
      <c r="K13" s="619"/>
      <c r="L13" s="619"/>
    </row>
  </sheetData>
  <pageMargins left="0.7" right="0.7" top="0.75" bottom="0.75" header="0.3" footer="0.3"/>
  <pageSetup orientation="portrait" horizontalDpi="90" verticalDpi="9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tabColor rgb="FF00B050"/>
  </sheetPr>
  <dimension ref="A1:F13"/>
  <sheetViews>
    <sheetView zoomScale="90" zoomScaleNormal="90" workbookViewId="0"/>
  </sheetViews>
  <sheetFormatPr defaultColWidth="8.87890625" defaultRowHeight="12.9" x14ac:dyDescent="0.5"/>
  <cols>
    <col min="1" max="6" width="15.76171875" style="623" customWidth="1"/>
    <col min="7" max="16384" width="8.87890625" style="623"/>
  </cols>
  <sheetData>
    <row r="1" spans="1:6" x14ac:dyDescent="0.5">
      <c r="A1" s="617" t="s">
        <v>82</v>
      </c>
      <c r="B1" s="617" t="s">
        <v>775</v>
      </c>
      <c r="C1" s="617" t="s">
        <v>776</v>
      </c>
      <c r="D1" s="617" t="s">
        <v>777</v>
      </c>
      <c r="E1" s="617" t="s">
        <v>778</v>
      </c>
      <c r="F1" s="617" t="s">
        <v>779</v>
      </c>
    </row>
    <row r="2" spans="1:6" x14ac:dyDescent="0.5">
      <c r="A2" s="624">
        <v>2008</v>
      </c>
      <c r="B2" s="629">
        <v>147525</v>
      </c>
      <c r="C2" s="629">
        <v>11991</v>
      </c>
      <c r="D2" s="629">
        <v>135534</v>
      </c>
      <c r="E2" s="629">
        <v>21625</v>
      </c>
      <c r="F2" s="628">
        <v>0.91871886120996438</v>
      </c>
    </row>
    <row r="3" spans="1:6" x14ac:dyDescent="0.5">
      <c r="A3" s="624">
        <v>2009</v>
      </c>
      <c r="B3" s="629">
        <v>330048</v>
      </c>
      <c r="C3" s="629">
        <v>105818</v>
      </c>
      <c r="D3" s="629">
        <v>224230</v>
      </c>
      <c r="E3" s="629">
        <v>15675</v>
      </c>
      <c r="F3" s="628">
        <v>0.67938602869885589</v>
      </c>
    </row>
    <row r="4" spans="1:6" x14ac:dyDescent="0.5">
      <c r="A4" s="624">
        <v>2010</v>
      </c>
      <c r="B4" s="629">
        <v>137247</v>
      </c>
      <c r="C4" s="629">
        <v>16429</v>
      </c>
      <c r="D4" s="629">
        <v>120818</v>
      </c>
      <c r="E4" s="629">
        <v>11485</v>
      </c>
      <c r="F4" s="628">
        <v>0.8802961084759594</v>
      </c>
    </row>
    <row r="5" spans="1:6" x14ac:dyDescent="0.5">
      <c r="A5" s="624">
        <v>2011</v>
      </c>
      <c r="B5" s="629">
        <v>160684</v>
      </c>
      <c r="C5" s="629">
        <v>15382</v>
      </c>
      <c r="D5" s="629">
        <v>145302</v>
      </c>
      <c r="E5" s="629">
        <v>25998</v>
      </c>
      <c r="F5" s="628">
        <v>0.90427173831868757</v>
      </c>
    </row>
    <row r="6" spans="1:6" x14ac:dyDescent="0.5">
      <c r="A6" s="624">
        <v>2012</v>
      </c>
      <c r="B6" s="629">
        <v>67212</v>
      </c>
      <c r="C6" s="629">
        <v>12244</v>
      </c>
      <c r="D6" s="629">
        <v>54968</v>
      </c>
      <c r="E6" s="629">
        <v>7070</v>
      </c>
      <c r="F6" s="628">
        <v>0.81783014937808729</v>
      </c>
    </row>
    <row r="7" spans="1:6" x14ac:dyDescent="0.5">
      <c r="A7" s="624">
        <v>2013</v>
      </c>
      <c r="B7" s="629">
        <v>92330</v>
      </c>
      <c r="C7" s="629">
        <v>32720</v>
      </c>
      <c r="D7" s="629">
        <v>59610</v>
      </c>
      <c r="E7" s="629">
        <v>8850</v>
      </c>
      <c r="F7" s="628">
        <v>0.64561897541427493</v>
      </c>
    </row>
    <row r="8" spans="1:6" x14ac:dyDescent="0.5">
      <c r="A8" s="624">
        <v>2014</v>
      </c>
      <c r="B8" s="629">
        <v>375178</v>
      </c>
      <c r="C8" s="629">
        <v>95450</v>
      </c>
      <c r="D8" s="629">
        <v>279728</v>
      </c>
      <c r="E8" s="629">
        <v>38711</v>
      </c>
      <c r="F8" s="628">
        <v>0.74558742783425469</v>
      </c>
    </row>
    <row r="9" spans="1:6" x14ac:dyDescent="0.5">
      <c r="A9" s="624">
        <v>2015</v>
      </c>
      <c r="B9" s="629">
        <v>58799</v>
      </c>
      <c r="C9" s="629">
        <v>21397</v>
      </c>
      <c r="D9" s="629">
        <v>37402</v>
      </c>
      <c r="E9" s="629">
        <v>2956</v>
      </c>
      <c r="F9" s="628">
        <v>0.63609925338866302</v>
      </c>
    </row>
    <row r="10" spans="1:6" x14ac:dyDescent="0.5">
      <c r="A10" s="624">
        <v>2016</v>
      </c>
      <c r="B10" s="629">
        <v>49869</v>
      </c>
      <c r="C10" s="629">
        <v>7849</v>
      </c>
      <c r="D10" s="629">
        <v>42020</v>
      </c>
      <c r="E10" s="629">
        <v>6414</v>
      </c>
      <c r="F10" s="628">
        <v>0.84260763199582911</v>
      </c>
    </row>
    <row r="11" spans="1:6" x14ac:dyDescent="0.5">
      <c r="A11" s="624">
        <v>2017</v>
      </c>
      <c r="B11" s="629">
        <v>94125</v>
      </c>
      <c r="C11" s="629">
        <v>18725</v>
      </c>
      <c r="D11" s="629">
        <v>76633.84848484848</v>
      </c>
      <c r="E11" s="629">
        <v>5869</v>
      </c>
      <c r="F11" s="628">
        <v>0.81417103303955884</v>
      </c>
    </row>
    <row r="12" spans="1:6" x14ac:dyDescent="0.5">
      <c r="A12" s="624">
        <v>2018</v>
      </c>
      <c r="B12" s="629">
        <v>54139</v>
      </c>
      <c r="C12" s="629">
        <v>13251</v>
      </c>
      <c r="D12" s="629">
        <v>40888</v>
      </c>
      <c r="E12" s="629">
        <v>4526</v>
      </c>
      <c r="F12" s="628">
        <v>0.75524113855076747</v>
      </c>
    </row>
    <row r="13" spans="1:6" x14ac:dyDescent="0.5">
      <c r="A13" s="624"/>
      <c r="B13" s="625"/>
      <c r="C13" s="626"/>
      <c r="D13" s="625"/>
      <c r="E13" s="625"/>
      <c r="F13" s="627"/>
    </row>
  </sheetData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00B050"/>
  </sheetPr>
  <dimension ref="A1:K12"/>
  <sheetViews>
    <sheetView workbookViewId="0">
      <selection activeCell="A18" sqref="A18"/>
    </sheetView>
  </sheetViews>
  <sheetFormatPr defaultRowHeight="12.9" x14ac:dyDescent="0.5"/>
  <cols>
    <col min="1" max="11" width="15.76171875" style="602" customWidth="1"/>
  </cols>
  <sheetData>
    <row r="1" spans="1:11" s="382" customFormat="1" x14ac:dyDescent="0.5">
      <c r="A1" s="630" t="s">
        <v>780</v>
      </c>
      <c r="B1" s="630" t="s">
        <v>781</v>
      </c>
      <c r="C1" s="630" t="s">
        <v>782</v>
      </c>
      <c r="D1" s="630" t="s">
        <v>783</v>
      </c>
      <c r="E1" s="630" t="s">
        <v>784</v>
      </c>
      <c r="F1" s="630" t="s">
        <v>786</v>
      </c>
      <c r="G1" s="630" t="s">
        <v>785</v>
      </c>
      <c r="H1" s="630" t="s">
        <v>787</v>
      </c>
      <c r="I1" s="630" t="s">
        <v>788</v>
      </c>
      <c r="J1" s="630" t="s">
        <v>789</v>
      </c>
      <c r="K1" s="630" t="s">
        <v>790</v>
      </c>
    </row>
    <row r="2" spans="1:11" x14ac:dyDescent="0.5">
      <c r="A2" s="630" t="s">
        <v>308</v>
      </c>
      <c r="B2" s="631">
        <v>13943.308887554147</v>
      </c>
      <c r="C2" s="631">
        <v>9</v>
      </c>
      <c r="D2" s="631">
        <v>562</v>
      </c>
      <c r="E2" s="631">
        <v>19.600000000000001</v>
      </c>
      <c r="F2" s="631">
        <v>115</v>
      </c>
      <c r="G2" s="631">
        <v>7.1478696741854639</v>
      </c>
      <c r="H2" s="631">
        <v>677</v>
      </c>
      <c r="I2" s="631">
        <v>35.747869674185466</v>
      </c>
      <c r="J2" s="632">
        <v>2.5638010290436981E-3</v>
      </c>
      <c r="K2" s="632">
        <v>0.02</v>
      </c>
    </row>
    <row r="3" spans="1:11" x14ac:dyDescent="0.5">
      <c r="A3" s="630" t="s">
        <v>309</v>
      </c>
      <c r="B3" s="631">
        <v>11575.059209519166</v>
      </c>
      <c r="C3" s="631">
        <v>4</v>
      </c>
      <c r="D3" s="631">
        <v>664</v>
      </c>
      <c r="E3" s="631">
        <v>21.5</v>
      </c>
      <c r="F3" s="631">
        <v>47</v>
      </c>
      <c r="G3" s="631">
        <v>2.1757303370786518</v>
      </c>
      <c r="H3" s="631">
        <v>711</v>
      </c>
      <c r="I3" s="631">
        <v>27.675730337078651</v>
      </c>
      <c r="J3" s="632">
        <v>2.3909795912161313E-3</v>
      </c>
      <c r="K3" s="632">
        <v>0.02</v>
      </c>
    </row>
    <row r="4" spans="1:11" x14ac:dyDescent="0.5">
      <c r="A4" s="630" t="s">
        <v>310</v>
      </c>
      <c r="B4" s="631">
        <v>20035.378294724564</v>
      </c>
      <c r="C4" s="631">
        <v>89</v>
      </c>
      <c r="D4" s="631">
        <v>1274</v>
      </c>
      <c r="E4" s="631">
        <v>44.300000000000004</v>
      </c>
      <c r="F4" s="631">
        <v>106</v>
      </c>
      <c r="G4" s="631">
        <v>4.5853669319186565</v>
      </c>
      <c r="H4" s="631">
        <v>1380</v>
      </c>
      <c r="I4" s="631">
        <v>137.88536693191867</v>
      </c>
      <c r="J4" s="632">
        <v>6.8820945082042556E-3</v>
      </c>
      <c r="K4" s="632">
        <v>0.02</v>
      </c>
    </row>
    <row r="5" spans="1:11" x14ac:dyDescent="0.5">
      <c r="A5" s="630" t="s">
        <v>311</v>
      </c>
      <c r="B5" s="631">
        <v>16740</v>
      </c>
      <c r="C5" s="631">
        <v>23</v>
      </c>
      <c r="D5" s="631">
        <v>1236</v>
      </c>
      <c r="E5" s="631">
        <v>81</v>
      </c>
      <c r="F5" s="631">
        <v>147</v>
      </c>
      <c r="G5" s="631">
        <v>9.9458876069966529</v>
      </c>
      <c r="H5" s="631">
        <v>1383</v>
      </c>
      <c r="I5" s="631">
        <v>113.94588760699665</v>
      </c>
      <c r="J5" s="632">
        <v>6.8068033218038624E-3</v>
      </c>
      <c r="K5" s="632">
        <v>0.02</v>
      </c>
    </row>
    <row r="6" spans="1:11" x14ac:dyDescent="0.5">
      <c r="A6" s="630" t="s">
        <v>312</v>
      </c>
      <c r="B6" s="631">
        <v>17332</v>
      </c>
      <c r="C6" s="631">
        <v>70</v>
      </c>
      <c r="D6" s="631">
        <v>1771</v>
      </c>
      <c r="E6" s="631">
        <v>59.400000000000006</v>
      </c>
      <c r="F6" s="631">
        <v>48</v>
      </c>
      <c r="G6" s="631">
        <v>2.4968674698795184</v>
      </c>
      <c r="H6" s="631">
        <v>1819</v>
      </c>
      <c r="I6" s="631">
        <v>131.89686746987951</v>
      </c>
      <c r="J6" s="632">
        <v>7.6100200478813468E-3</v>
      </c>
      <c r="K6" s="632">
        <v>0.02</v>
      </c>
    </row>
    <row r="7" spans="1:11" x14ac:dyDescent="0.5">
      <c r="A7" s="630" t="s">
        <v>313</v>
      </c>
      <c r="B7" s="631">
        <v>15655</v>
      </c>
      <c r="C7" s="631">
        <v>27</v>
      </c>
      <c r="D7" s="631">
        <v>432</v>
      </c>
      <c r="E7" s="631">
        <v>21.6</v>
      </c>
      <c r="F7" s="631">
        <v>63</v>
      </c>
      <c r="G7" s="631">
        <v>3.4117563739376777</v>
      </c>
      <c r="H7" s="631">
        <v>495</v>
      </c>
      <c r="I7" s="631">
        <v>52.011756373937679</v>
      </c>
      <c r="J7" s="632">
        <v>3.3223734509062715E-3</v>
      </c>
      <c r="K7" s="632">
        <v>0.02</v>
      </c>
    </row>
    <row r="8" spans="1:11" x14ac:dyDescent="0.5">
      <c r="A8" s="630" t="s">
        <v>314</v>
      </c>
      <c r="B8" s="631">
        <v>14928</v>
      </c>
      <c r="C8" s="631">
        <v>58</v>
      </c>
      <c r="D8" s="631">
        <v>460</v>
      </c>
      <c r="E8" s="631">
        <v>39.300000000000004</v>
      </c>
      <c r="F8" s="631">
        <v>51</v>
      </c>
      <c r="G8" s="631">
        <v>2.8011035653650254</v>
      </c>
      <c r="H8" s="631">
        <v>511</v>
      </c>
      <c r="I8" s="631">
        <v>100.10110356536504</v>
      </c>
      <c r="J8" s="632">
        <v>6.7055937543786864E-3</v>
      </c>
      <c r="K8" s="632">
        <v>0.02</v>
      </c>
    </row>
    <row r="9" spans="1:11" x14ac:dyDescent="0.5">
      <c r="A9" s="630" t="s">
        <v>315</v>
      </c>
      <c r="B9" s="631">
        <v>20117</v>
      </c>
      <c r="C9" s="631">
        <v>52</v>
      </c>
      <c r="D9" s="631">
        <v>704</v>
      </c>
      <c r="E9" s="631">
        <v>77.100000000000009</v>
      </c>
      <c r="F9" s="631">
        <v>98</v>
      </c>
      <c r="G9" s="631">
        <v>9.1445245901639343</v>
      </c>
      <c r="H9" s="631">
        <v>802</v>
      </c>
      <c r="I9" s="631">
        <v>138.24452459016396</v>
      </c>
      <c r="J9" s="632">
        <v>6.8720248839371657E-3</v>
      </c>
      <c r="K9" s="632">
        <v>0.02</v>
      </c>
    </row>
    <row r="10" spans="1:11" x14ac:dyDescent="0.5">
      <c r="A10" s="630" t="s">
        <v>316</v>
      </c>
      <c r="B10" s="631">
        <v>22379</v>
      </c>
      <c r="C10" s="631">
        <v>48</v>
      </c>
      <c r="D10" s="631">
        <v>898</v>
      </c>
      <c r="E10" s="631">
        <v>68.3</v>
      </c>
      <c r="F10" s="631">
        <v>42</v>
      </c>
      <c r="G10" s="631">
        <v>2.9605205008593174</v>
      </c>
      <c r="H10" s="631">
        <v>940</v>
      </c>
      <c r="I10" s="631">
        <v>119.26052050085931</v>
      </c>
      <c r="J10" s="632">
        <v>5.3291264355359632E-3</v>
      </c>
      <c r="K10" s="632">
        <v>0.02</v>
      </c>
    </row>
    <row r="11" spans="1:11" ht="12.75" customHeight="1" x14ac:dyDescent="0.5">
      <c r="A11" s="630" t="s">
        <v>317</v>
      </c>
      <c r="B11" s="631">
        <v>9448</v>
      </c>
      <c r="C11" s="631">
        <v>0</v>
      </c>
      <c r="D11" s="631">
        <v>234</v>
      </c>
      <c r="E11" s="631">
        <v>18.606116207951072</v>
      </c>
      <c r="F11" s="631">
        <v>8</v>
      </c>
      <c r="G11" s="631">
        <v>0.41419878296146051</v>
      </c>
      <c r="H11" s="631">
        <v>242</v>
      </c>
      <c r="I11" s="631">
        <v>19.020314990912532</v>
      </c>
      <c r="J11" s="632">
        <v>2.0131578102151283E-3</v>
      </c>
      <c r="K11" s="632">
        <v>0.02</v>
      </c>
    </row>
    <row r="12" spans="1:11" ht="12.75" customHeight="1" x14ac:dyDescent="0.5">
      <c r="A12" s="630" t="s">
        <v>318</v>
      </c>
      <c r="B12" s="631">
        <v>11323</v>
      </c>
      <c r="C12" s="631">
        <v>0</v>
      </c>
      <c r="D12" s="631">
        <v>256.60000000000002</v>
      </c>
      <c r="E12" s="631">
        <v>27.704211446046312</v>
      </c>
      <c r="F12" s="631">
        <v>24.32761972935716</v>
      </c>
      <c r="G12" s="631">
        <v>1.5811302374982468</v>
      </c>
      <c r="H12" s="631">
        <v>280.92761972935716</v>
      </c>
      <c r="I12" s="631">
        <v>29.285341683544559</v>
      </c>
      <c r="J12" s="632">
        <v>2.5863588875337418E-3</v>
      </c>
      <c r="K12" s="632">
        <v>0.02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I12"/>
  <sheetViews>
    <sheetView zoomScaleNormal="100" workbookViewId="0">
      <selection activeCell="B1" sqref="B1"/>
    </sheetView>
  </sheetViews>
  <sheetFormatPr defaultColWidth="8.87890625" defaultRowHeight="12.9" x14ac:dyDescent="0.5"/>
  <cols>
    <col min="1" max="7" width="15.76171875" style="587" customWidth="1"/>
    <col min="8" max="16384" width="8.87890625" style="540"/>
  </cols>
  <sheetData>
    <row r="1" spans="1:9" s="236" customFormat="1" x14ac:dyDescent="0.5">
      <c r="A1" s="587" t="s">
        <v>82</v>
      </c>
      <c r="B1" s="587" t="s">
        <v>722</v>
      </c>
      <c r="C1" s="587" t="s">
        <v>709</v>
      </c>
      <c r="D1" s="587" t="s">
        <v>730</v>
      </c>
      <c r="E1" s="587" t="s">
        <v>731</v>
      </c>
      <c r="F1" s="587" t="s">
        <v>732</v>
      </c>
      <c r="G1" s="587" t="s">
        <v>733</v>
      </c>
    </row>
    <row r="2" spans="1:9" x14ac:dyDescent="0.5">
      <c r="A2" s="587">
        <v>2008</v>
      </c>
      <c r="B2" s="592">
        <v>178626.95699999999</v>
      </c>
      <c r="C2" s="592">
        <v>28371</v>
      </c>
      <c r="D2" s="593">
        <v>21391</v>
      </c>
      <c r="E2" s="594">
        <v>9.0999999999999998E-2</v>
      </c>
      <c r="F2" s="592"/>
      <c r="G2" s="595">
        <f t="shared" ref="G2:G12" si="0">D2/B2</f>
        <v>0.11975236190134506</v>
      </c>
      <c r="I2" s="570"/>
    </row>
    <row r="3" spans="1:9" x14ac:dyDescent="0.5">
      <c r="A3" s="587">
        <v>2009</v>
      </c>
      <c r="B3" s="592">
        <v>169295.899</v>
      </c>
      <c r="C3" s="592">
        <v>20809</v>
      </c>
      <c r="D3" s="592">
        <v>13101</v>
      </c>
      <c r="E3" s="594">
        <v>9.0999999999999998E-2</v>
      </c>
      <c r="F3" s="592"/>
      <c r="G3" s="594">
        <f t="shared" si="0"/>
        <v>7.7385217700991091E-2</v>
      </c>
      <c r="I3" s="570"/>
    </row>
    <row r="4" spans="1:9" x14ac:dyDescent="0.5">
      <c r="A4" s="587">
        <v>2010</v>
      </c>
      <c r="B4" s="592">
        <v>315345.82300000003</v>
      </c>
      <c r="C4" s="592">
        <v>38298</v>
      </c>
      <c r="D4" s="593">
        <v>42954</v>
      </c>
      <c r="E4" s="594">
        <v>0.108</v>
      </c>
      <c r="F4" s="592">
        <f t="shared" ref="F4:F12" si="1">B4*E4</f>
        <v>34057.348884000006</v>
      </c>
      <c r="G4" s="595">
        <f t="shared" si="0"/>
        <v>0.13621236391008101</v>
      </c>
    </row>
    <row r="5" spans="1:9" x14ac:dyDescent="0.5">
      <c r="A5" s="587">
        <v>2011</v>
      </c>
      <c r="B5" s="592">
        <v>221157.83300000001</v>
      </c>
      <c r="C5" s="592">
        <v>17752</v>
      </c>
      <c r="D5" s="592">
        <v>15533</v>
      </c>
      <c r="E5" s="594">
        <v>0.1</v>
      </c>
      <c r="F5" s="592">
        <f t="shared" si="1"/>
        <v>22115.783300000003</v>
      </c>
      <c r="G5" s="594">
        <f t="shared" si="0"/>
        <v>7.0234907754770773E-2</v>
      </c>
    </row>
    <row r="6" spans="1:9" x14ac:dyDescent="0.5">
      <c r="A6" s="587">
        <v>2012</v>
      </c>
      <c r="B6" s="592">
        <v>203089.6</v>
      </c>
      <c r="C6" s="593">
        <v>18723</v>
      </c>
      <c r="D6" s="592">
        <v>17701</v>
      </c>
      <c r="E6" s="594">
        <v>9.0999999999999998E-2</v>
      </c>
      <c r="F6" s="592">
        <f t="shared" si="1"/>
        <v>18481.153600000001</v>
      </c>
      <c r="G6" s="594">
        <f t="shared" si="0"/>
        <v>8.7158574343540976E-2</v>
      </c>
    </row>
    <row r="7" spans="1:9" x14ac:dyDescent="0.5">
      <c r="A7" s="587">
        <v>2013</v>
      </c>
      <c r="B7" s="592">
        <v>123136.14599999999</v>
      </c>
      <c r="C7" s="592">
        <v>8557</v>
      </c>
      <c r="D7" s="592">
        <v>9282</v>
      </c>
      <c r="E7" s="594">
        <v>8.3000000000000004E-2</v>
      </c>
      <c r="F7" s="592">
        <f t="shared" si="1"/>
        <v>10220.300117999999</v>
      </c>
      <c r="G7" s="594">
        <f t="shared" si="0"/>
        <v>7.5379978190969213E-2</v>
      </c>
    </row>
    <row r="8" spans="1:9" x14ac:dyDescent="0.5">
      <c r="A8" s="587">
        <v>2014</v>
      </c>
      <c r="B8" s="592">
        <v>242634.83499999999</v>
      </c>
      <c r="C8" s="592">
        <v>23020</v>
      </c>
      <c r="D8" s="593">
        <v>24703</v>
      </c>
      <c r="E8" s="594">
        <v>0.1</v>
      </c>
      <c r="F8" s="592">
        <f t="shared" si="1"/>
        <v>24263.483500000002</v>
      </c>
      <c r="G8" s="595">
        <f t="shared" si="0"/>
        <v>0.10181143198172678</v>
      </c>
    </row>
    <row r="9" spans="1:9" x14ac:dyDescent="0.5">
      <c r="A9" s="587">
        <v>2015</v>
      </c>
      <c r="B9" s="578">
        <v>288994.413</v>
      </c>
      <c r="C9" s="578">
        <v>25495</v>
      </c>
      <c r="D9" s="578">
        <v>31181</v>
      </c>
      <c r="E9" s="579">
        <v>0.108</v>
      </c>
      <c r="F9" s="592">
        <f t="shared" si="1"/>
        <v>31211.396604000001</v>
      </c>
      <c r="G9" s="579">
        <f t="shared" si="0"/>
        <v>0.1078948194060762</v>
      </c>
    </row>
    <row r="10" spans="1:9" x14ac:dyDescent="0.5">
      <c r="A10" s="587">
        <v>2016</v>
      </c>
      <c r="B10" s="578">
        <v>187815.79699999999</v>
      </c>
      <c r="C10" s="578">
        <v>16022</v>
      </c>
      <c r="D10" s="578">
        <v>17066</v>
      </c>
      <c r="E10" s="579">
        <v>9.0999999999999998E-2</v>
      </c>
      <c r="F10" s="592">
        <f t="shared" si="1"/>
        <v>17091.237526999997</v>
      </c>
      <c r="G10" s="579">
        <f t="shared" si="0"/>
        <v>9.0865626175203995E-2</v>
      </c>
    </row>
    <row r="11" spans="1:9" x14ac:dyDescent="0.5">
      <c r="A11" s="587">
        <v>2017</v>
      </c>
      <c r="B11" s="578">
        <v>115820.9</v>
      </c>
      <c r="C11" s="578">
        <v>7779</v>
      </c>
      <c r="D11" s="593">
        <v>8109</v>
      </c>
      <c r="E11" s="579">
        <v>7.0000000000000007E-2</v>
      </c>
      <c r="F11" s="592">
        <f t="shared" si="1"/>
        <v>8107.4630000000006</v>
      </c>
      <c r="G11" s="595">
        <f t="shared" si="0"/>
        <v>7.0013270489177687E-2</v>
      </c>
    </row>
    <row r="12" spans="1:9" x14ac:dyDescent="0.5">
      <c r="A12" s="587">
        <v>2018</v>
      </c>
      <c r="B12" s="578">
        <v>115080.8</v>
      </c>
      <c r="C12" s="578">
        <v>7536</v>
      </c>
      <c r="D12" s="593">
        <v>10892</v>
      </c>
      <c r="E12" s="579">
        <v>8.3000000000000004E-2</v>
      </c>
      <c r="F12" s="592">
        <f t="shared" si="1"/>
        <v>9551.7064000000009</v>
      </c>
      <c r="G12" s="595">
        <f t="shared" si="0"/>
        <v>9.4646543993437651E-2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00B050"/>
  </sheetPr>
  <dimension ref="A1:G18"/>
  <sheetViews>
    <sheetView workbookViewId="0">
      <selection activeCell="G1" sqref="G1"/>
    </sheetView>
  </sheetViews>
  <sheetFormatPr defaultColWidth="8.87890625" defaultRowHeight="12.9" x14ac:dyDescent="0.5"/>
  <cols>
    <col min="1" max="8" width="15.64453125" style="605" customWidth="1"/>
    <col min="9" max="16384" width="8.87890625" style="605"/>
  </cols>
  <sheetData>
    <row r="1" spans="1:7" x14ac:dyDescent="0.5">
      <c r="A1" s="616" t="s">
        <v>791</v>
      </c>
      <c r="B1" s="616" t="s">
        <v>792</v>
      </c>
      <c r="C1" s="616" t="s">
        <v>793</v>
      </c>
      <c r="D1" s="616" t="s">
        <v>795</v>
      </c>
      <c r="E1" s="616" t="s">
        <v>796</v>
      </c>
      <c r="F1" s="616" t="s">
        <v>797</v>
      </c>
      <c r="G1" s="634" t="s">
        <v>794</v>
      </c>
    </row>
    <row r="2" spans="1:7" x14ac:dyDescent="0.5">
      <c r="A2" s="616">
        <v>2002</v>
      </c>
      <c r="B2" s="633">
        <v>78</v>
      </c>
      <c r="C2" s="633">
        <v>78</v>
      </c>
      <c r="D2" s="633">
        <v>65</v>
      </c>
      <c r="E2" s="633">
        <v>13</v>
      </c>
      <c r="F2" s="618">
        <v>3.4955633234740524E-3</v>
      </c>
      <c r="G2" s="618">
        <v>3.8563080300198747E-4</v>
      </c>
    </row>
    <row r="3" spans="1:7" x14ac:dyDescent="0.5">
      <c r="A3" s="616">
        <v>2003</v>
      </c>
      <c r="B3" s="633">
        <v>788</v>
      </c>
      <c r="C3" s="633">
        <v>568</v>
      </c>
      <c r="D3" s="633">
        <v>477</v>
      </c>
      <c r="E3" s="633">
        <v>91</v>
      </c>
      <c r="F3" s="618">
        <v>5.7924888605983452E-2</v>
      </c>
      <c r="G3" s="618">
        <v>3.8802660753880268E-3</v>
      </c>
    </row>
    <row r="4" spans="1:7" x14ac:dyDescent="0.5">
      <c r="A4" s="616">
        <v>2004</v>
      </c>
      <c r="B4" s="633">
        <v>70</v>
      </c>
      <c r="C4" s="633">
        <v>54</v>
      </c>
      <c r="D4" s="633">
        <v>46</v>
      </c>
      <c r="E4" s="633">
        <v>8</v>
      </c>
      <c r="F4" s="618">
        <v>7.9365079365079361E-3</v>
      </c>
      <c r="G4" s="618">
        <v>2.7058107285395387E-4</v>
      </c>
    </row>
    <row r="5" spans="1:7" x14ac:dyDescent="0.5">
      <c r="A5" s="616">
        <v>2005</v>
      </c>
      <c r="B5" s="633">
        <v>8</v>
      </c>
      <c r="C5" s="633">
        <v>8</v>
      </c>
      <c r="D5" s="633">
        <v>7</v>
      </c>
      <c r="E5" s="633">
        <v>1</v>
      </c>
      <c r="F5" s="618">
        <v>3.246753246753247E-3</v>
      </c>
      <c r="G5" s="618">
        <v>6.8212824010914058E-5</v>
      </c>
    </row>
    <row r="6" spans="1:7" x14ac:dyDescent="0.5">
      <c r="A6" s="616">
        <v>2006</v>
      </c>
      <c r="B6" s="633">
        <v>139</v>
      </c>
      <c r="C6" s="633">
        <v>108</v>
      </c>
      <c r="D6" s="633">
        <v>92</v>
      </c>
      <c r="E6" s="633">
        <v>16</v>
      </c>
      <c r="F6" s="618">
        <v>1.8306636155606407E-2</v>
      </c>
      <c r="G6" s="618">
        <v>9.5756777784427552E-4</v>
      </c>
    </row>
    <row r="7" spans="1:7" x14ac:dyDescent="0.5">
      <c r="A7" s="616">
        <v>2007</v>
      </c>
      <c r="B7" s="633">
        <v>558</v>
      </c>
      <c r="C7" s="633">
        <v>288</v>
      </c>
      <c r="D7" s="633">
        <v>211</v>
      </c>
      <c r="E7" s="633">
        <v>77</v>
      </c>
      <c r="F7" s="618">
        <v>3.2613299449385853E-2</v>
      </c>
      <c r="G7" s="618">
        <v>5.1088110403397025E-3</v>
      </c>
    </row>
    <row r="8" spans="1:7" x14ac:dyDescent="0.5">
      <c r="A8" s="616">
        <v>2008</v>
      </c>
      <c r="B8" s="633">
        <v>334</v>
      </c>
      <c r="C8" s="633">
        <v>28</v>
      </c>
      <c r="D8" s="633">
        <v>17</v>
      </c>
      <c r="E8" s="633">
        <v>11</v>
      </c>
      <c r="F8" s="618">
        <v>9.3776641091219103E-3</v>
      </c>
      <c r="G8" s="618">
        <v>7.8890886580147723E-4</v>
      </c>
    </row>
    <row r="9" spans="1:7" x14ac:dyDescent="0.5">
      <c r="A9" s="616">
        <v>2009</v>
      </c>
      <c r="B9" s="633">
        <v>0</v>
      </c>
      <c r="C9" s="633">
        <v>0</v>
      </c>
      <c r="D9" s="633">
        <v>0</v>
      </c>
      <c r="E9" s="633">
        <v>0</v>
      </c>
      <c r="F9" s="618">
        <v>0</v>
      </c>
      <c r="G9" s="618">
        <v>0</v>
      </c>
    </row>
    <row r="10" spans="1:7" x14ac:dyDescent="0.5">
      <c r="A10" s="616">
        <v>2010</v>
      </c>
      <c r="B10" s="633">
        <v>12</v>
      </c>
      <c r="C10" s="633">
        <v>0</v>
      </c>
      <c r="D10" s="633">
        <v>0</v>
      </c>
      <c r="E10" s="633">
        <v>0</v>
      </c>
      <c r="F10" s="618">
        <v>0</v>
      </c>
      <c r="G10" s="618">
        <v>0</v>
      </c>
    </row>
    <row r="11" spans="1:7" x14ac:dyDescent="0.5">
      <c r="A11" s="616">
        <v>2011</v>
      </c>
      <c r="B11" s="633">
        <v>281</v>
      </c>
      <c r="C11" s="633">
        <v>32</v>
      </c>
      <c r="D11" s="633">
        <v>19</v>
      </c>
      <c r="E11" s="633">
        <v>13</v>
      </c>
      <c r="F11" s="618">
        <v>7.1507150715071511E-3</v>
      </c>
      <c r="G11" s="618">
        <v>7.7658303464755074E-4</v>
      </c>
    </row>
    <row r="12" spans="1:7" x14ac:dyDescent="0.5">
      <c r="A12" s="616">
        <v>2012</v>
      </c>
      <c r="B12" s="633">
        <v>101</v>
      </c>
      <c r="C12" s="633">
        <v>85</v>
      </c>
      <c r="D12" s="633">
        <v>56</v>
      </c>
      <c r="E12" s="633">
        <v>29</v>
      </c>
      <c r="F12" s="618">
        <v>1.7018779342723004E-2</v>
      </c>
      <c r="G12" s="618">
        <v>1.6732056312024001E-3</v>
      </c>
    </row>
    <row r="13" spans="1:7" x14ac:dyDescent="0.5">
      <c r="A13" s="616">
        <v>2013</v>
      </c>
      <c r="B13" s="633">
        <v>0</v>
      </c>
      <c r="C13" s="633">
        <v>0</v>
      </c>
      <c r="D13" s="633">
        <v>0</v>
      </c>
      <c r="E13" s="633">
        <v>0</v>
      </c>
      <c r="F13" s="618">
        <v>0</v>
      </c>
      <c r="G13" s="618">
        <v>0</v>
      </c>
    </row>
    <row r="14" spans="1:7" x14ac:dyDescent="0.5">
      <c r="A14" s="616">
        <v>2014</v>
      </c>
      <c r="B14" s="633">
        <v>98</v>
      </c>
      <c r="C14" s="633">
        <v>98</v>
      </c>
      <c r="D14" s="633">
        <v>63</v>
      </c>
      <c r="E14" s="633">
        <v>35</v>
      </c>
      <c r="F14" s="618">
        <v>2.704791344667697E-2</v>
      </c>
      <c r="G14" s="618">
        <v>2.344587352625938E-3</v>
      </c>
    </row>
    <row r="15" spans="1:7" x14ac:dyDescent="0.5">
      <c r="A15" s="616">
        <v>2015</v>
      </c>
      <c r="B15" s="633">
        <v>171</v>
      </c>
      <c r="C15" s="633">
        <v>171</v>
      </c>
      <c r="D15" s="633">
        <v>88</v>
      </c>
      <c r="E15" s="633">
        <v>83</v>
      </c>
      <c r="F15" s="618">
        <v>2.9163738580463811E-2</v>
      </c>
      <c r="G15" s="618">
        <v>4.1258636973703832E-3</v>
      </c>
    </row>
    <row r="16" spans="1:7" x14ac:dyDescent="0.5">
      <c r="A16" s="616">
        <v>2016</v>
      </c>
      <c r="B16" s="633">
        <v>20</v>
      </c>
      <c r="C16" s="633">
        <v>20</v>
      </c>
      <c r="D16" s="633">
        <v>12</v>
      </c>
      <c r="E16" s="633">
        <v>8</v>
      </c>
      <c r="F16" s="618">
        <v>2.8040658955485456E-3</v>
      </c>
      <c r="G16" s="618">
        <v>3.5747799276107065E-4</v>
      </c>
    </row>
    <row r="17" spans="1:7" x14ac:dyDescent="0.5">
      <c r="A17" s="616">
        <v>2017</v>
      </c>
      <c r="B17" s="633">
        <v>128</v>
      </c>
      <c r="C17" s="633">
        <v>128</v>
      </c>
      <c r="D17" s="633">
        <v>84</v>
      </c>
      <c r="E17" s="633">
        <v>44</v>
      </c>
      <c r="F17" s="618">
        <v>4.3435340572556762E-2</v>
      </c>
      <c r="G17" s="618">
        <v>4.6570702794242165E-3</v>
      </c>
    </row>
    <row r="18" spans="1:7" x14ac:dyDescent="0.5">
      <c r="A18" s="616">
        <v>2018</v>
      </c>
      <c r="B18" s="633">
        <v>118</v>
      </c>
      <c r="C18" s="633">
        <v>118</v>
      </c>
      <c r="D18" s="633">
        <v>71.501858736059489</v>
      </c>
      <c r="E18" s="633">
        <v>46.498141263940518</v>
      </c>
      <c r="F18" s="618">
        <v>4.8740190004130525E-2</v>
      </c>
      <c r="G18" s="618">
        <v>4.1065213515800161E-3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00B050"/>
  </sheetPr>
  <dimension ref="A1:I18"/>
  <sheetViews>
    <sheetView workbookViewId="0">
      <selection activeCell="I1" sqref="I1"/>
    </sheetView>
  </sheetViews>
  <sheetFormatPr defaultColWidth="8.87890625" defaultRowHeight="12.9" x14ac:dyDescent="0.5"/>
  <cols>
    <col min="1" max="9" width="15.64453125" style="605" customWidth="1"/>
    <col min="10" max="16384" width="8.87890625" style="605"/>
  </cols>
  <sheetData>
    <row r="1" spans="1:9" x14ac:dyDescent="0.5">
      <c r="A1" s="616" t="s">
        <v>780</v>
      </c>
      <c r="B1" s="616" t="s">
        <v>798</v>
      </c>
      <c r="C1" s="616" t="s">
        <v>810</v>
      </c>
      <c r="D1" s="616" t="s">
        <v>799</v>
      </c>
      <c r="E1" s="616" t="s">
        <v>704</v>
      </c>
      <c r="F1" s="616" t="s">
        <v>800</v>
      </c>
      <c r="G1" s="616" t="s">
        <v>801</v>
      </c>
      <c r="H1" s="616" t="s">
        <v>802</v>
      </c>
      <c r="I1" s="616" t="s">
        <v>803</v>
      </c>
    </row>
    <row r="2" spans="1:9" x14ac:dyDescent="0.5">
      <c r="A2" s="616" t="s">
        <v>804</v>
      </c>
      <c r="B2" s="618">
        <v>2.5000000000000001E-3</v>
      </c>
      <c r="C2" s="616">
        <v>9</v>
      </c>
      <c r="D2" s="616">
        <v>48</v>
      </c>
      <c r="E2" s="616">
        <v>57</v>
      </c>
      <c r="F2" s="635">
        <v>13</v>
      </c>
      <c r="G2" s="635">
        <v>22</v>
      </c>
      <c r="H2" s="636">
        <v>5.9155687012637809E-3</v>
      </c>
      <c r="I2" s="636">
        <v>6.5260597431105578E-4</v>
      </c>
    </row>
    <row r="3" spans="1:9" x14ac:dyDescent="0.5">
      <c r="A3" s="616" t="s">
        <v>805</v>
      </c>
      <c r="B3" s="618">
        <v>2.5000000000000001E-3</v>
      </c>
      <c r="C3" s="616">
        <v>4</v>
      </c>
      <c r="D3" s="616">
        <v>21</v>
      </c>
      <c r="E3" s="616">
        <v>24</v>
      </c>
      <c r="F3" s="635">
        <v>91</v>
      </c>
      <c r="G3" s="635">
        <v>95</v>
      </c>
      <c r="H3" s="636">
        <v>6.0471037555697008E-2</v>
      </c>
      <c r="I3" s="636">
        <v>4.0508272215589291E-3</v>
      </c>
    </row>
    <row r="4" spans="1:9" x14ac:dyDescent="0.5">
      <c r="A4" s="616" t="s">
        <v>806</v>
      </c>
      <c r="B4" s="618">
        <v>2.5000000000000001E-3</v>
      </c>
      <c r="C4" s="616">
        <v>3</v>
      </c>
      <c r="D4" s="616">
        <v>14</v>
      </c>
      <c r="E4" s="616">
        <v>17</v>
      </c>
      <c r="F4" s="635">
        <v>8</v>
      </c>
      <c r="G4" s="635">
        <v>11</v>
      </c>
      <c r="H4" s="636">
        <v>1.0912698412698412E-2</v>
      </c>
      <c r="I4" s="636">
        <v>3.7204897517418656E-4</v>
      </c>
    </row>
    <row r="5" spans="1:9" x14ac:dyDescent="0.5">
      <c r="A5" s="616" t="s">
        <v>807</v>
      </c>
      <c r="B5" s="618">
        <v>2.5000000000000001E-3</v>
      </c>
      <c r="C5" s="616">
        <v>1</v>
      </c>
      <c r="D5" s="616">
        <v>4</v>
      </c>
      <c r="E5" s="616">
        <v>5</v>
      </c>
      <c r="F5" s="635">
        <v>1</v>
      </c>
      <c r="G5" s="635">
        <v>2</v>
      </c>
      <c r="H5" s="636">
        <v>6.4935064935064939E-3</v>
      </c>
      <c r="I5" s="636">
        <v>1.3642564802182812E-4</v>
      </c>
    </row>
    <row r="6" spans="1:9" x14ac:dyDescent="0.5">
      <c r="A6" s="616" t="s">
        <v>808</v>
      </c>
      <c r="B6" s="618">
        <v>2.5000000000000001E-3</v>
      </c>
      <c r="C6" s="616">
        <v>2</v>
      </c>
      <c r="D6" s="616">
        <v>12</v>
      </c>
      <c r="E6" s="616">
        <v>15</v>
      </c>
      <c r="F6" s="635">
        <v>16</v>
      </c>
      <c r="G6" s="635">
        <v>18</v>
      </c>
      <c r="H6" s="636">
        <v>2.0594965675057208E-2</v>
      </c>
      <c r="I6" s="636">
        <v>1.07726375007481E-3</v>
      </c>
    </row>
    <row r="7" spans="1:9" x14ac:dyDescent="0.5">
      <c r="A7" s="616" t="s">
        <v>809</v>
      </c>
      <c r="B7" s="618">
        <v>2.5000000000000001E-3</v>
      </c>
      <c r="C7" s="616">
        <v>6</v>
      </c>
      <c r="D7" s="616">
        <v>16</v>
      </c>
      <c r="E7" s="616">
        <v>22</v>
      </c>
      <c r="F7" s="635">
        <v>77</v>
      </c>
      <c r="G7" s="635">
        <v>83</v>
      </c>
      <c r="H7" s="636">
        <v>3.515459551037696E-2</v>
      </c>
      <c r="I7" s="636">
        <v>5.5069002123142247E-3</v>
      </c>
    </row>
    <row r="8" spans="1:9" x14ac:dyDescent="0.5">
      <c r="A8" s="616" t="s">
        <v>308</v>
      </c>
      <c r="B8" s="618">
        <v>2.5000000000000001E-3</v>
      </c>
      <c r="C8" s="616">
        <v>3</v>
      </c>
      <c r="D8" s="616">
        <v>5</v>
      </c>
      <c r="E8" s="616">
        <v>8</v>
      </c>
      <c r="F8" s="635">
        <v>11</v>
      </c>
      <c r="G8" s="635">
        <v>14</v>
      </c>
      <c r="H8" s="636">
        <v>1.1935208866155157E-2</v>
      </c>
      <c r="I8" s="636">
        <v>1.0040880728681058E-3</v>
      </c>
    </row>
    <row r="9" spans="1:9" x14ac:dyDescent="0.5">
      <c r="A9" s="616" t="s">
        <v>309</v>
      </c>
      <c r="B9" s="618">
        <v>2.5000000000000001E-3</v>
      </c>
      <c r="C9" s="616">
        <v>2</v>
      </c>
      <c r="D9" s="616">
        <v>4</v>
      </c>
      <c r="E9" s="616">
        <v>7</v>
      </c>
      <c r="F9" s="635">
        <v>0</v>
      </c>
      <c r="G9" s="635">
        <v>2</v>
      </c>
      <c r="H9" s="636">
        <v>2.4330900243309003E-3</v>
      </c>
      <c r="I9" s="636">
        <v>1.7278617710583154E-4</v>
      </c>
    </row>
    <row r="10" spans="1:9" x14ac:dyDescent="0.5">
      <c r="A10" s="616" t="s">
        <v>310</v>
      </c>
      <c r="B10" s="618">
        <v>2.5000000000000001E-3</v>
      </c>
      <c r="C10" s="616">
        <v>9</v>
      </c>
      <c r="D10" s="616">
        <v>7</v>
      </c>
      <c r="E10" s="616">
        <v>16</v>
      </c>
      <c r="F10" s="635">
        <v>0</v>
      </c>
      <c r="G10" s="635">
        <v>9</v>
      </c>
      <c r="H10" s="636">
        <v>2.527379949452401E-3</v>
      </c>
      <c r="I10" s="636">
        <v>4.4921387571749441E-4</v>
      </c>
    </row>
    <row r="11" spans="1:9" x14ac:dyDescent="0.5">
      <c r="A11" s="616" t="s">
        <v>311</v>
      </c>
      <c r="B11" s="618">
        <v>2.5000000000000001E-3</v>
      </c>
      <c r="C11" s="616">
        <v>5</v>
      </c>
      <c r="D11" s="616">
        <v>7</v>
      </c>
      <c r="E11" s="616">
        <v>11</v>
      </c>
      <c r="F11" s="635">
        <v>13</v>
      </c>
      <c r="G11" s="635">
        <v>17</v>
      </c>
      <c r="H11" s="636">
        <v>9.3509350935093508E-3</v>
      </c>
      <c r="I11" s="636">
        <v>1.0148042024832856E-3</v>
      </c>
    </row>
    <row r="12" spans="1:9" x14ac:dyDescent="0.5">
      <c r="A12" s="616" t="s">
        <v>312</v>
      </c>
      <c r="B12" s="618">
        <v>2.5000000000000001E-3</v>
      </c>
      <c r="C12" s="616">
        <v>4</v>
      </c>
      <c r="D12" s="616">
        <v>8</v>
      </c>
      <c r="E12" s="616">
        <v>12</v>
      </c>
      <c r="F12" s="635">
        <v>29</v>
      </c>
      <c r="G12" s="635">
        <v>33</v>
      </c>
      <c r="H12" s="636">
        <v>1.936619718309859E-2</v>
      </c>
      <c r="I12" s="636">
        <v>1.9039926148165243E-3</v>
      </c>
    </row>
    <row r="13" spans="1:9" x14ac:dyDescent="0.5">
      <c r="A13" s="616" t="s">
        <v>313</v>
      </c>
      <c r="B13" s="618">
        <v>2.5000000000000001E-3</v>
      </c>
      <c r="C13" s="616">
        <v>3</v>
      </c>
      <c r="D13" s="616">
        <v>5</v>
      </c>
      <c r="E13" s="616">
        <v>8</v>
      </c>
      <c r="F13" s="635">
        <v>0</v>
      </c>
      <c r="G13" s="635">
        <v>3</v>
      </c>
      <c r="H13" s="636">
        <v>2.6408450704225352E-3</v>
      </c>
      <c r="I13" s="636">
        <v>1.9163206643244969E-4</v>
      </c>
    </row>
    <row r="14" spans="1:9" x14ac:dyDescent="0.5">
      <c r="A14" s="616" t="s">
        <v>314</v>
      </c>
      <c r="B14" s="618">
        <v>2.5000000000000001E-3</v>
      </c>
      <c r="C14" s="616">
        <v>3</v>
      </c>
      <c r="D14" s="616">
        <v>6</v>
      </c>
      <c r="E14" s="616">
        <v>9</v>
      </c>
      <c r="F14" s="635">
        <v>35</v>
      </c>
      <c r="G14" s="635">
        <v>38</v>
      </c>
      <c r="H14" s="636">
        <v>2.9366306027820709E-2</v>
      </c>
      <c r="I14" s="636">
        <v>2.5455519828510181E-3</v>
      </c>
    </row>
    <row r="15" spans="1:9" x14ac:dyDescent="0.5">
      <c r="A15" s="616" t="s">
        <v>315</v>
      </c>
      <c r="B15" s="618">
        <v>2.5000000000000001E-3</v>
      </c>
      <c r="C15" s="616">
        <v>7</v>
      </c>
      <c r="D15" s="616">
        <v>8</v>
      </c>
      <c r="E15" s="616">
        <v>15</v>
      </c>
      <c r="F15" s="635">
        <v>83</v>
      </c>
      <c r="G15" s="635">
        <v>90</v>
      </c>
      <c r="H15" s="636">
        <v>3.1623330990864368E-2</v>
      </c>
      <c r="I15" s="636">
        <v>4.4738281055823432E-3</v>
      </c>
    </row>
    <row r="16" spans="1:9" x14ac:dyDescent="0.5">
      <c r="A16" s="616" t="s">
        <v>316</v>
      </c>
      <c r="B16" s="618">
        <v>2.5000000000000001E-3</v>
      </c>
      <c r="C16" s="616">
        <v>7</v>
      </c>
      <c r="D16" s="616">
        <v>10</v>
      </c>
      <c r="E16" s="616">
        <v>17</v>
      </c>
      <c r="F16" s="635">
        <v>8</v>
      </c>
      <c r="G16" s="635">
        <v>15</v>
      </c>
      <c r="H16" s="636">
        <v>5.2576235541535229E-3</v>
      </c>
      <c r="I16" s="636">
        <v>6.7027123642700748E-4</v>
      </c>
    </row>
    <row r="17" spans="1:9" x14ac:dyDescent="0.5">
      <c r="A17" s="616" t="s">
        <v>317</v>
      </c>
      <c r="B17" s="618">
        <v>2.5000000000000001E-3</v>
      </c>
      <c r="C17" s="616">
        <v>3</v>
      </c>
      <c r="D17" s="616">
        <v>5</v>
      </c>
      <c r="E17" s="616">
        <v>7</v>
      </c>
      <c r="F17" s="635">
        <v>44</v>
      </c>
      <c r="G17" s="635">
        <v>49</v>
      </c>
      <c r="H17" s="636">
        <v>4.8371174728529122E-2</v>
      </c>
      <c r="I17" s="636">
        <v>5.1862828111769689E-3</v>
      </c>
    </row>
    <row r="18" spans="1:9" x14ac:dyDescent="0.5">
      <c r="A18" s="616" t="s">
        <v>318</v>
      </c>
      <c r="B18" s="618">
        <v>2.5000000000000001E-3</v>
      </c>
      <c r="C18" s="633">
        <v>2.3850000000000002</v>
      </c>
      <c r="D18" s="633">
        <v>3.6675</v>
      </c>
      <c r="E18" s="633">
        <v>6.0525000000000002</v>
      </c>
      <c r="F18" s="633">
        <v>46.498141263940518</v>
      </c>
      <c r="G18" s="633">
        <v>48.883141263940516</v>
      </c>
      <c r="H18" s="636">
        <v>5.124019000413052E-2</v>
      </c>
      <c r="I18" s="636">
        <v>4.3171545759905072E-3</v>
      </c>
    </row>
  </sheetData>
  <pageMargins left="0.7" right="0.7" top="0.75" bottom="0.75" header="0.3" footer="0.3"/>
  <pageSetup orientation="portrait" horizontalDpi="90" verticalDpi="9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00B050"/>
  </sheetPr>
  <dimension ref="A1:L12"/>
  <sheetViews>
    <sheetView zoomScale="85" zoomScaleNormal="85" workbookViewId="0">
      <selection activeCell="C14" sqref="C14"/>
    </sheetView>
  </sheetViews>
  <sheetFormatPr defaultColWidth="8.87890625" defaultRowHeight="12.9" x14ac:dyDescent="0.5"/>
  <cols>
    <col min="1" max="12" width="15.76171875" style="602" customWidth="1"/>
    <col min="13" max="16384" width="8.87890625" style="602"/>
  </cols>
  <sheetData>
    <row r="1" spans="1:12" x14ac:dyDescent="0.5">
      <c r="A1" s="602" t="s">
        <v>82</v>
      </c>
      <c r="B1" s="602" t="s">
        <v>811</v>
      </c>
      <c r="C1" s="602" t="s">
        <v>821</v>
      </c>
      <c r="D1" s="602" t="s">
        <v>820</v>
      </c>
      <c r="E1" s="602" t="s">
        <v>812</v>
      </c>
      <c r="F1" s="602" t="s">
        <v>813</v>
      </c>
      <c r="G1" s="602" t="s">
        <v>814</v>
      </c>
      <c r="H1" s="602" t="s">
        <v>815</v>
      </c>
      <c r="I1" s="602" t="s">
        <v>817</v>
      </c>
      <c r="J1" s="602" t="s">
        <v>816</v>
      </c>
      <c r="K1" s="602" t="s">
        <v>818</v>
      </c>
      <c r="L1" s="602" t="s">
        <v>819</v>
      </c>
    </row>
    <row r="2" spans="1:12" x14ac:dyDescent="0.5">
      <c r="A2" s="602">
        <v>2008</v>
      </c>
      <c r="B2" s="602">
        <v>15</v>
      </c>
      <c r="E2" s="602">
        <v>80</v>
      </c>
      <c r="H2" s="602">
        <v>3</v>
      </c>
      <c r="I2" s="602">
        <v>98</v>
      </c>
      <c r="J2" s="602">
        <v>70</v>
      </c>
      <c r="K2" s="602">
        <v>28</v>
      </c>
      <c r="L2" s="638">
        <v>6.1999999999999998E-3</v>
      </c>
    </row>
    <row r="3" spans="1:12" x14ac:dyDescent="0.5">
      <c r="A3" s="602">
        <v>2009</v>
      </c>
      <c r="B3" s="602">
        <v>10</v>
      </c>
      <c r="C3" s="602">
        <v>319</v>
      </c>
      <c r="D3" s="602">
        <v>51</v>
      </c>
      <c r="E3" s="602">
        <v>370</v>
      </c>
      <c r="I3" s="602">
        <v>380</v>
      </c>
      <c r="J3" s="602">
        <v>326</v>
      </c>
      <c r="K3" s="602">
        <v>54</v>
      </c>
      <c r="L3" s="638">
        <v>1.5299999999999999E-2</v>
      </c>
    </row>
    <row r="4" spans="1:12" x14ac:dyDescent="0.5">
      <c r="A4" s="602">
        <v>2010</v>
      </c>
      <c r="B4" s="602">
        <v>40</v>
      </c>
      <c r="C4" s="602">
        <v>160</v>
      </c>
      <c r="D4" s="602">
        <v>0</v>
      </c>
      <c r="E4" s="602">
        <v>160</v>
      </c>
      <c r="H4" s="602">
        <v>123</v>
      </c>
      <c r="I4" s="602">
        <v>323</v>
      </c>
      <c r="J4" s="602">
        <v>244</v>
      </c>
      <c r="K4" s="602">
        <v>79</v>
      </c>
      <c r="L4" s="638">
        <v>7.6E-3</v>
      </c>
    </row>
    <row r="5" spans="1:12" x14ac:dyDescent="0.5">
      <c r="A5" s="602">
        <v>2011</v>
      </c>
      <c r="B5" s="602">
        <v>20</v>
      </c>
      <c r="C5" s="602">
        <v>143</v>
      </c>
      <c r="D5" s="602">
        <v>0</v>
      </c>
      <c r="E5" s="602">
        <v>143</v>
      </c>
      <c r="I5" s="602">
        <v>163</v>
      </c>
      <c r="J5" s="602">
        <v>156</v>
      </c>
      <c r="K5" s="602">
        <v>7</v>
      </c>
      <c r="L5" s="638">
        <v>2.5000000000000001E-3</v>
      </c>
    </row>
    <row r="6" spans="1:12" x14ac:dyDescent="0.5">
      <c r="A6" s="602">
        <v>2012</v>
      </c>
      <c r="B6" s="602">
        <v>14</v>
      </c>
      <c r="C6" s="602">
        <v>311</v>
      </c>
      <c r="D6" s="602">
        <v>59</v>
      </c>
      <c r="E6" s="602">
        <v>370</v>
      </c>
      <c r="I6" s="602">
        <v>384</v>
      </c>
      <c r="J6" s="602">
        <v>320</v>
      </c>
      <c r="K6" s="602">
        <v>64</v>
      </c>
      <c r="L6" s="638">
        <v>2.12E-2</v>
      </c>
    </row>
    <row r="7" spans="1:12" x14ac:dyDescent="0.5">
      <c r="A7" s="602">
        <v>2013</v>
      </c>
      <c r="B7" s="602">
        <v>17</v>
      </c>
      <c r="C7" s="602">
        <v>190</v>
      </c>
      <c r="D7" s="602">
        <v>60</v>
      </c>
      <c r="E7" s="602">
        <v>250</v>
      </c>
      <c r="I7" s="602">
        <v>267</v>
      </c>
      <c r="J7" s="602">
        <v>202</v>
      </c>
      <c r="K7" s="602">
        <v>65</v>
      </c>
      <c r="L7" s="638">
        <v>3.9100000000000003E-2</v>
      </c>
    </row>
    <row r="8" spans="1:12" x14ac:dyDescent="0.5">
      <c r="A8" s="602">
        <v>2014</v>
      </c>
      <c r="B8" s="602">
        <v>11</v>
      </c>
      <c r="C8" s="602">
        <v>199</v>
      </c>
      <c r="D8" s="602">
        <v>51</v>
      </c>
      <c r="E8" s="602">
        <v>250</v>
      </c>
      <c r="F8" s="602">
        <v>108</v>
      </c>
      <c r="G8" s="602">
        <v>23</v>
      </c>
      <c r="H8" s="602">
        <v>131</v>
      </c>
      <c r="I8" s="602">
        <v>392</v>
      </c>
      <c r="J8" s="602">
        <v>314</v>
      </c>
      <c r="K8" s="602">
        <v>78</v>
      </c>
      <c r="L8" s="638">
        <v>1.6299999999999999E-2</v>
      </c>
    </row>
    <row r="9" spans="1:12" x14ac:dyDescent="0.5">
      <c r="A9" s="602">
        <v>2015</v>
      </c>
      <c r="B9" s="602">
        <v>16</v>
      </c>
      <c r="C9" s="602">
        <v>25</v>
      </c>
      <c r="D9" s="602">
        <v>5</v>
      </c>
      <c r="E9" s="602">
        <v>30</v>
      </c>
      <c r="F9" s="602">
        <v>69</v>
      </c>
      <c r="G9" s="602">
        <v>28</v>
      </c>
      <c r="H9" s="602">
        <v>97</v>
      </c>
      <c r="I9" s="602">
        <v>143</v>
      </c>
      <c r="J9" s="602">
        <v>103</v>
      </c>
      <c r="K9" s="602">
        <v>40</v>
      </c>
      <c r="L9" s="638">
        <v>1.09E-2</v>
      </c>
    </row>
    <row r="10" spans="1:12" x14ac:dyDescent="0.5">
      <c r="A10" s="602">
        <v>2016</v>
      </c>
      <c r="B10" s="602">
        <v>7</v>
      </c>
      <c r="C10" s="602">
        <v>186</v>
      </c>
      <c r="D10" s="602">
        <v>14</v>
      </c>
      <c r="E10" s="602">
        <v>200</v>
      </c>
      <c r="H10" s="602">
        <v>11</v>
      </c>
      <c r="I10" s="602">
        <v>218</v>
      </c>
      <c r="J10" s="602">
        <v>197</v>
      </c>
      <c r="K10" s="602">
        <v>21</v>
      </c>
      <c r="L10" s="638">
        <v>4.4000000000000003E-3</v>
      </c>
    </row>
    <row r="11" spans="1:12" x14ac:dyDescent="0.5">
      <c r="A11" s="602">
        <v>2017</v>
      </c>
      <c r="B11" s="602">
        <v>15</v>
      </c>
      <c r="C11" s="602">
        <v>255</v>
      </c>
      <c r="D11" s="602">
        <v>139</v>
      </c>
      <c r="E11" s="602">
        <v>394</v>
      </c>
      <c r="F11" s="602">
        <v>177</v>
      </c>
      <c r="G11" s="602">
        <v>19</v>
      </c>
      <c r="H11" s="602">
        <v>196</v>
      </c>
      <c r="I11" s="602">
        <v>605</v>
      </c>
      <c r="J11" s="602">
        <v>446</v>
      </c>
      <c r="K11" s="602">
        <v>159</v>
      </c>
      <c r="L11" s="638">
        <v>0.12859999999999999</v>
      </c>
    </row>
    <row r="12" spans="1:12" x14ac:dyDescent="0.5">
      <c r="A12" s="602">
        <v>2018</v>
      </c>
      <c r="B12" s="602">
        <v>6</v>
      </c>
      <c r="C12" s="602">
        <v>6</v>
      </c>
      <c r="D12" s="602">
        <v>110</v>
      </c>
      <c r="E12" s="602">
        <v>30</v>
      </c>
      <c r="F12" s="602">
        <v>141</v>
      </c>
      <c r="G12" s="602">
        <v>0</v>
      </c>
      <c r="H12" s="602">
        <v>0</v>
      </c>
      <c r="I12" s="602">
        <v>0</v>
      </c>
      <c r="J12" s="602">
        <v>147</v>
      </c>
      <c r="K12" s="602">
        <v>114</v>
      </c>
      <c r="L12" s="602">
        <v>0.33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00B050"/>
  </sheetPr>
  <dimension ref="A1:J14"/>
  <sheetViews>
    <sheetView workbookViewId="0">
      <selection sqref="A1:J1"/>
    </sheetView>
  </sheetViews>
  <sheetFormatPr defaultRowHeight="12.9" x14ac:dyDescent="0.5"/>
  <cols>
    <col min="1" max="10" width="15.76171875" style="602" customWidth="1"/>
  </cols>
  <sheetData>
    <row r="1" spans="1:10" x14ac:dyDescent="0.5">
      <c r="A1" s="602" t="s">
        <v>780</v>
      </c>
      <c r="B1" s="602" t="s">
        <v>822</v>
      </c>
      <c r="C1" s="602" t="s">
        <v>823</v>
      </c>
      <c r="D1" s="602" t="s">
        <v>824</v>
      </c>
      <c r="E1" s="602" t="s">
        <v>825</v>
      </c>
      <c r="F1" s="602" t="s">
        <v>826</v>
      </c>
      <c r="G1" s="602" t="s">
        <v>827</v>
      </c>
      <c r="H1" s="602" t="s">
        <v>828</v>
      </c>
      <c r="I1" s="602" t="s">
        <v>829</v>
      </c>
      <c r="J1" s="602" t="s">
        <v>754</v>
      </c>
    </row>
    <row r="2" spans="1:10" x14ac:dyDescent="0.5">
      <c r="A2" s="602" t="s">
        <v>309</v>
      </c>
      <c r="B2" s="639">
        <v>1753</v>
      </c>
      <c r="C2" s="639">
        <v>694</v>
      </c>
      <c r="D2" s="639">
        <v>2447</v>
      </c>
      <c r="E2" s="639">
        <v>614</v>
      </c>
      <c r="F2" s="639">
        <v>142</v>
      </c>
      <c r="G2" s="639">
        <v>756</v>
      </c>
      <c r="H2" s="639">
        <v>2368</v>
      </c>
      <c r="I2" s="639">
        <v>836</v>
      </c>
      <c r="J2" s="639">
        <v>3203</v>
      </c>
    </row>
    <row r="3" spans="1:10" x14ac:dyDescent="0.5">
      <c r="A3" s="602" t="s">
        <v>310</v>
      </c>
      <c r="B3" s="639">
        <v>2193</v>
      </c>
      <c r="C3" s="639">
        <v>605</v>
      </c>
      <c r="D3" s="639">
        <v>2798</v>
      </c>
      <c r="E3" s="639">
        <v>527</v>
      </c>
      <c r="F3" s="639">
        <v>210</v>
      </c>
      <c r="G3" s="639">
        <v>737</v>
      </c>
      <c r="H3" s="639">
        <v>2720</v>
      </c>
      <c r="I3" s="639">
        <v>815</v>
      </c>
      <c r="J3" s="639">
        <v>3535</v>
      </c>
    </row>
    <row r="4" spans="1:10" x14ac:dyDescent="0.5">
      <c r="A4" s="602" t="s">
        <v>311</v>
      </c>
      <c r="B4" s="639">
        <v>5067</v>
      </c>
      <c r="C4" s="639">
        <v>3022</v>
      </c>
      <c r="D4" s="639">
        <v>8089</v>
      </c>
      <c r="E4" s="639">
        <v>1857</v>
      </c>
      <c r="F4" s="639">
        <v>1011</v>
      </c>
      <c r="G4" s="639">
        <v>2868</v>
      </c>
      <c r="H4" s="639">
        <v>6924</v>
      </c>
      <c r="I4" s="639">
        <v>4033</v>
      </c>
      <c r="J4" s="639">
        <v>10957</v>
      </c>
    </row>
    <row r="5" spans="1:10" x14ac:dyDescent="0.5">
      <c r="A5" s="602" t="s">
        <v>312</v>
      </c>
      <c r="B5" s="639">
        <v>1848</v>
      </c>
      <c r="C5" s="639">
        <v>943</v>
      </c>
      <c r="D5" s="639">
        <v>2790</v>
      </c>
      <c r="E5" s="639">
        <v>658</v>
      </c>
      <c r="F5" s="639">
        <v>545</v>
      </c>
      <c r="G5" s="639">
        <v>1203</v>
      </c>
      <c r="H5" s="639">
        <v>2506</v>
      </c>
      <c r="I5" s="639">
        <v>1487</v>
      </c>
      <c r="J5" s="639">
        <v>3993</v>
      </c>
    </row>
    <row r="6" spans="1:10" x14ac:dyDescent="0.5">
      <c r="A6" s="602" t="s">
        <v>313</v>
      </c>
      <c r="B6" s="639">
        <v>921</v>
      </c>
      <c r="C6" s="639">
        <v>112</v>
      </c>
      <c r="D6" s="639">
        <v>1034</v>
      </c>
      <c r="E6" s="639">
        <v>399</v>
      </c>
      <c r="F6" s="639">
        <v>80</v>
      </c>
      <c r="G6" s="639">
        <v>478</v>
      </c>
      <c r="H6" s="639">
        <v>1320</v>
      </c>
      <c r="I6" s="639">
        <v>192</v>
      </c>
      <c r="J6" s="639">
        <v>1512</v>
      </c>
    </row>
    <row r="7" spans="1:10" x14ac:dyDescent="0.5">
      <c r="A7" s="602" t="s">
        <v>314</v>
      </c>
      <c r="B7" s="639">
        <v>2975</v>
      </c>
      <c r="C7" s="639">
        <v>87</v>
      </c>
      <c r="D7" s="639">
        <v>3062</v>
      </c>
      <c r="E7" s="639">
        <v>2256</v>
      </c>
      <c r="F7" s="639">
        <v>55</v>
      </c>
      <c r="G7" s="639">
        <v>2310</v>
      </c>
      <c r="H7" s="639">
        <v>5231</v>
      </c>
      <c r="I7" s="639">
        <v>142</v>
      </c>
      <c r="J7" s="639">
        <v>5372</v>
      </c>
    </row>
    <row r="8" spans="1:10" x14ac:dyDescent="0.5">
      <c r="A8" s="602" t="s">
        <v>315</v>
      </c>
      <c r="B8" s="639">
        <v>4670</v>
      </c>
      <c r="C8" s="639">
        <v>575</v>
      </c>
      <c r="D8" s="639">
        <v>5245</v>
      </c>
      <c r="E8" s="639">
        <v>3173</v>
      </c>
      <c r="F8" s="639">
        <v>370</v>
      </c>
      <c r="G8" s="639">
        <v>3543</v>
      </c>
      <c r="H8" s="639">
        <v>7843</v>
      </c>
      <c r="I8" s="639">
        <v>945</v>
      </c>
      <c r="J8" s="639">
        <v>8788</v>
      </c>
    </row>
    <row r="9" spans="1:10" x14ac:dyDescent="0.5">
      <c r="A9" s="602" t="s">
        <v>316</v>
      </c>
      <c r="B9" s="639">
        <v>1431</v>
      </c>
      <c r="C9" s="639">
        <v>257</v>
      </c>
      <c r="D9" s="639">
        <v>1688</v>
      </c>
      <c r="E9" s="639">
        <v>1107</v>
      </c>
      <c r="F9" s="639">
        <v>71</v>
      </c>
      <c r="G9" s="639">
        <v>1178</v>
      </c>
      <c r="H9" s="639">
        <v>2538</v>
      </c>
      <c r="I9" s="639">
        <v>328</v>
      </c>
      <c r="J9" s="639">
        <v>2866</v>
      </c>
    </row>
    <row r="10" spans="1:10" x14ac:dyDescent="0.5">
      <c r="A10" s="602" t="s">
        <v>317</v>
      </c>
      <c r="B10" s="639">
        <v>1866</v>
      </c>
      <c r="C10" s="639">
        <v>243</v>
      </c>
      <c r="D10" s="639">
        <v>2109</v>
      </c>
      <c r="E10" s="639">
        <v>1020</v>
      </c>
      <c r="F10" s="639">
        <v>33</v>
      </c>
      <c r="G10" s="639">
        <v>1053</v>
      </c>
      <c r="H10" s="639">
        <v>2886</v>
      </c>
      <c r="I10" s="639">
        <v>276</v>
      </c>
      <c r="J10" s="639">
        <v>3161</v>
      </c>
    </row>
    <row r="11" spans="1:10" x14ac:dyDescent="0.5">
      <c r="A11" s="602" t="s">
        <v>318</v>
      </c>
      <c r="B11" s="639">
        <v>445</v>
      </c>
      <c r="C11" s="639">
        <v>36</v>
      </c>
      <c r="D11" s="639">
        <v>481</v>
      </c>
      <c r="E11" s="639">
        <v>182</v>
      </c>
      <c r="F11" s="639">
        <v>2</v>
      </c>
      <c r="G11" s="639">
        <v>184</v>
      </c>
      <c r="H11" s="639">
        <v>627</v>
      </c>
      <c r="I11" s="639">
        <v>38</v>
      </c>
      <c r="J11" s="639">
        <v>665</v>
      </c>
    </row>
    <row r="12" spans="1:10" x14ac:dyDescent="0.5">
      <c r="A12" s="602" t="s">
        <v>326</v>
      </c>
      <c r="B12" s="639">
        <v>68</v>
      </c>
      <c r="C12" s="639">
        <v>127</v>
      </c>
      <c r="D12" s="639">
        <v>195</v>
      </c>
      <c r="E12" s="639">
        <v>73</v>
      </c>
      <c r="F12" s="639">
        <v>46</v>
      </c>
      <c r="G12" s="639">
        <v>119</v>
      </c>
      <c r="H12" s="639">
        <v>195</v>
      </c>
      <c r="I12" s="639">
        <v>322</v>
      </c>
      <c r="J12" s="639">
        <v>314</v>
      </c>
    </row>
    <row r="14" spans="1:10" x14ac:dyDescent="0.5">
      <c r="E14" s="639"/>
    </row>
  </sheetData>
  <pageMargins left="0.7" right="0.7" top="0.75" bottom="0.75" header="0.3" footer="0.3"/>
  <pageSetup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00B050"/>
  </sheetPr>
  <dimension ref="A1:J12"/>
  <sheetViews>
    <sheetView workbookViewId="0">
      <selection activeCell="H1" sqref="H1"/>
    </sheetView>
  </sheetViews>
  <sheetFormatPr defaultRowHeight="12.9" x14ac:dyDescent="0.5"/>
  <cols>
    <col min="1" max="10" width="15.76171875" style="602" customWidth="1"/>
  </cols>
  <sheetData>
    <row r="1" spans="1:10" x14ac:dyDescent="0.5">
      <c r="A1" s="602" t="s">
        <v>780</v>
      </c>
      <c r="B1" s="602" t="s">
        <v>822</v>
      </c>
      <c r="C1" s="602" t="s">
        <v>823</v>
      </c>
      <c r="D1" s="602" t="s">
        <v>824</v>
      </c>
      <c r="E1" s="602" t="s">
        <v>825</v>
      </c>
      <c r="F1" s="602" t="s">
        <v>826</v>
      </c>
      <c r="G1" s="602" t="s">
        <v>827</v>
      </c>
      <c r="H1" s="602" t="s">
        <v>830</v>
      </c>
      <c r="I1" s="602" t="s">
        <v>831</v>
      </c>
      <c r="J1" s="602" t="s">
        <v>832</v>
      </c>
    </row>
    <row r="2" spans="1:10" x14ac:dyDescent="0.5">
      <c r="A2" s="602" t="s">
        <v>308</v>
      </c>
      <c r="B2" s="602">
        <v>148</v>
      </c>
      <c r="C2" s="602">
        <v>68</v>
      </c>
      <c r="D2" s="602">
        <v>216</v>
      </c>
      <c r="E2" s="602">
        <v>74</v>
      </c>
      <c r="F2" s="602">
        <v>17</v>
      </c>
      <c r="G2" s="602">
        <v>90</v>
      </c>
      <c r="H2" s="602">
        <v>222</v>
      </c>
      <c r="I2" s="602">
        <v>84</v>
      </c>
      <c r="J2" s="602">
        <v>306</v>
      </c>
    </row>
    <row r="3" spans="1:10" x14ac:dyDescent="0.5">
      <c r="A3" s="602" t="s">
        <v>309</v>
      </c>
      <c r="B3" s="602">
        <v>0</v>
      </c>
      <c r="C3" s="602">
        <v>0</v>
      </c>
      <c r="D3" s="602">
        <v>0</v>
      </c>
      <c r="E3" s="602">
        <v>0</v>
      </c>
      <c r="F3" s="602">
        <v>0</v>
      </c>
      <c r="G3" s="602">
        <v>0</v>
      </c>
      <c r="H3" s="602">
        <v>0</v>
      </c>
      <c r="I3" s="602">
        <v>0</v>
      </c>
      <c r="J3" s="602">
        <v>0</v>
      </c>
    </row>
    <row r="4" spans="1:10" x14ac:dyDescent="0.5">
      <c r="A4" s="602" t="s">
        <v>310</v>
      </c>
      <c r="B4" s="602">
        <v>6</v>
      </c>
      <c r="C4" s="602">
        <v>2</v>
      </c>
      <c r="D4" s="602">
        <v>8</v>
      </c>
      <c r="E4" s="602">
        <v>4</v>
      </c>
      <c r="F4" s="602">
        <v>1</v>
      </c>
      <c r="G4" s="602">
        <v>4</v>
      </c>
      <c r="H4" s="602">
        <v>10</v>
      </c>
      <c r="I4" s="602">
        <v>2</v>
      </c>
      <c r="J4" s="602">
        <v>12</v>
      </c>
    </row>
    <row r="5" spans="1:10" x14ac:dyDescent="0.5">
      <c r="A5" s="602" t="s">
        <v>311</v>
      </c>
      <c r="B5" s="602">
        <v>152</v>
      </c>
      <c r="C5" s="602">
        <v>20</v>
      </c>
      <c r="D5" s="602">
        <v>173</v>
      </c>
      <c r="E5" s="602">
        <v>71</v>
      </c>
      <c r="F5" s="602">
        <v>5</v>
      </c>
      <c r="G5" s="602">
        <v>76</v>
      </c>
      <c r="H5" s="602">
        <v>223</v>
      </c>
      <c r="I5" s="602">
        <v>26</v>
      </c>
      <c r="J5" s="602">
        <v>249</v>
      </c>
    </row>
    <row r="6" spans="1:10" x14ac:dyDescent="0.5">
      <c r="A6" s="602" t="s">
        <v>312</v>
      </c>
      <c r="B6" s="602">
        <v>10</v>
      </c>
      <c r="C6" s="602">
        <v>2</v>
      </c>
      <c r="D6" s="602">
        <v>11</v>
      </c>
      <c r="E6" s="602">
        <v>4</v>
      </c>
      <c r="F6" s="602">
        <v>0</v>
      </c>
      <c r="G6" s="602">
        <v>5</v>
      </c>
      <c r="H6" s="602">
        <v>14</v>
      </c>
      <c r="I6" s="602">
        <v>2</v>
      </c>
      <c r="J6" s="602">
        <v>16</v>
      </c>
    </row>
    <row r="7" spans="1:10" x14ac:dyDescent="0.5">
      <c r="A7" s="602" t="s">
        <v>313</v>
      </c>
      <c r="B7" s="602">
        <v>0</v>
      </c>
      <c r="C7" s="602">
        <v>0</v>
      </c>
      <c r="D7" s="602">
        <v>0</v>
      </c>
      <c r="E7" s="602">
        <v>0</v>
      </c>
      <c r="F7" s="602">
        <v>0</v>
      </c>
      <c r="G7" s="602">
        <v>0</v>
      </c>
      <c r="H7" s="602">
        <v>0</v>
      </c>
      <c r="I7" s="602">
        <v>0</v>
      </c>
      <c r="J7" s="602">
        <v>0</v>
      </c>
    </row>
    <row r="8" spans="1:10" x14ac:dyDescent="0.5">
      <c r="A8" s="602" t="s">
        <v>314</v>
      </c>
      <c r="B8" s="602">
        <v>0</v>
      </c>
      <c r="C8" s="602">
        <v>0</v>
      </c>
      <c r="D8" s="602">
        <v>0</v>
      </c>
      <c r="E8" s="602">
        <v>0</v>
      </c>
      <c r="F8" s="602">
        <v>0</v>
      </c>
      <c r="G8" s="602">
        <v>0</v>
      </c>
      <c r="H8" s="602">
        <v>0</v>
      </c>
      <c r="I8" s="602">
        <v>0</v>
      </c>
      <c r="J8" s="602">
        <v>0</v>
      </c>
    </row>
    <row r="9" spans="1:10" x14ac:dyDescent="0.5">
      <c r="A9" s="602" t="s">
        <v>315</v>
      </c>
      <c r="B9" s="602">
        <v>0</v>
      </c>
      <c r="C9" s="602">
        <v>0</v>
      </c>
      <c r="D9" s="602">
        <v>0</v>
      </c>
      <c r="E9" s="602">
        <v>0</v>
      </c>
      <c r="F9" s="602">
        <v>0</v>
      </c>
      <c r="G9" s="602">
        <v>0</v>
      </c>
      <c r="H9" s="602">
        <v>0</v>
      </c>
      <c r="I9" s="602">
        <v>0</v>
      </c>
      <c r="J9" s="602">
        <v>0</v>
      </c>
    </row>
    <row r="10" spans="1:10" x14ac:dyDescent="0.5">
      <c r="A10" s="602" t="s">
        <v>316</v>
      </c>
      <c r="B10" s="602">
        <v>0</v>
      </c>
      <c r="C10" s="602">
        <v>0</v>
      </c>
      <c r="D10" s="602">
        <v>0</v>
      </c>
      <c r="E10" s="602">
        <v>0</v>
      </c>
      <c r="F10" s="602">
        <v>0</v>
      </c>
      <c r="G10" s="602">
        <v>0</v>
      </c>
      <c r="H10" s="602">
        <v>0</v>
      </c>
      <c r="I10" s="602">
        <v>0</v>
      </c>
      <c r="J10" s="602">
        <v>0</v>
      </c>
    </row>
    <row r="11" spans="1:10" x14ac:dyDescent="0.5">
      <c r="A11" s="602" t="s">
        <v>317</v>
      </c>
      <c r="B11" s="602">
        <v>82</v>
      </c>
      <c r="C11" s="602">
        <v>0</v>
      </c>
      <c r="D11" s="602">
        <v>82</v>
      </c>
      <c r="E11" s="602">
        <v>5</v>
      </c>
      <c r="F11" s="602">
        <v>0</v>
      </c>
      <c r="G11" s="602">
        <v>5</v>
      </c>
      <c r="H11" s="602">
        <v>87</v>
      </c>
      <c r="I11" s="602">
        <v>0</v>
      </c>
      <c r="J11" s="602">
        <v>87</v>
      </c>
    </row>
    <row r="12" spans="1:10" x14ac:dyDescent="0.5">
      <c r="A12" s="602" t="s">
        <v>318</v>
      </c>
      <c r="B12" s="602">
        <v>6</v>
      </c>
      <c r="C12" s="602">
        <v>0</v>
      </c>
      <c r="D12" s="602">
        <v>6</v>
      </c>
      <c r="E12" s="602">
        <v>3</v>
      </c>
      <c r="F12" s="602">
        <v>0</v>
      </c>
      <c r="G12" s="602">
        <v>3</v>
      </c>
      <c r="H12" s="602">
        <v>9</v>
      </c>
      <c r="I12" s="602">
        <v>0</v>
      </c>
      <c r="J12" s="602">
        <v>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rgb="FF00B050"/>
  </sheetPr>
  <dimension ref="A1:K13"/>
  <sheetViews>
    <sheetView workbookViewId="0">
      <selection activeCell="I17" sqref="I17"/>
    </sheetView>
  </sheetViews>
  <sheetFormatPr defaultColWidth="8.87890625" defaultRowHeight="12.9" x14ac:dyDescent="0.5"/>
  <cols>
    <col min="1" max="1" width="15.76171875" style="605" customWidth="1"/>
    <col min="2" max="2" width="24.1171875" style="605" bestFit="1" customWidth="1"/>
    <col min="3" max="3" width="25.1171875" style="605" bestFit="1" customWidth="1"/>
    <col min="4" max="4" width="21.64453125" style="605" bestFit="1" customWidth="1"/>
    <col min="5" max="5" width="22.52734375" style="605" bestFit="1" customWidth="1"/>
    <col min="6" max="6" width="18.3515625" style="605" bestFit="1" customWidth="1"/>
    <col min="7" max="7" width="19.234375" style="605" bestFit="1" customWidth="1"/>
    <col min="8" max="8" width="19.76171875" style="605" bestFit="1" customWidth="1"/>
    <col min="9" max="9" width="18.76171875" style="605" bestFit="1" customWidth="1"/>
    <col min="10" max="10" width="20.76171875" style="605" bestFit="1" customWidth="1"/>
    <col min="11" max="11" width="19.76171875" style="605" bestFit="1" customWidth="1"/>
    <col min="12" max="16384" width="8.87890625" style="494"/>
  </cols>
  <sheetData>
    <row r="1" spans="1:11" x14ac:dyDescent="0.5">
      <c r="A1" s="605" t="s">
        <v>82</v>
      </c>
      <c r="B1" s="605" t="s">
        <v>837</v>
      </c>
      <c r="C1" s="605" t="s">
        <v>838</v>
      </c>
      <c r="D1" s="605" t="s">
        <v>839</v>
      </c>
      <c r="E1" s="605" t="s">
        <v>840</v>
      </c>
      <c r="F1" s="605" t="s">
        <v>841</v>
      </c>
      <c r="G1" s="605" t="s">
        <v>842</v>
      </c>
      <c r="H1" s="494" t="s">
        <v>833</v>
      </c>
      <c r="I1" s="494" t="s">
        <v>834</v>
      </c>
      <c r="J1" s="494" t="s">
        <v>835</v>
      </c>
      <c r="K1" s="494" t="s">
        <v>836</v>
      </c>
    </row>
    <row r="2" spans="1:11" x14ac:dyDescent="0.5">
      <c r="A2" s="605">
        <v>2008</v>
      </c>
      <c r="B2" s="613">
        <v>25.256162632450334</v>
      </c>
      <c r="C2" s="613">
        <v>6.6025938675496691</v>
      </c>
      <c r="D2" s="613">
        <v>2035</v>
      </c>
      <c r="E2" s="613">
        <v>53.2</v>
      </c>
      <c r="F2" s="613">
        <v>53</v>
      </c>
      <c r="G2" s="613">
        <v>2.0974786211760561</v>
      </c>
      <c r="H2" s="613">
        <v>2060.2561626324505</v>
      </c>
      <c r="I2" s="613">
        <v>53</v>
      </c>
      <c r="J2" s="613">
        <v>59.802593867549675</v>
      </c>
      <c r="K2" s="613">
        <v>2.0974786211760561</v>
      </c>
    </row>
    <row r="3" spans="1:11" x14ac:dyDescent="0.5">
      <c r="A3" s="605">
        <v>2009</v>
      </c>
      <c r="B3" s="613">
        <v>54.341498951027688</v>
      </c>
      <c r="C3" s="613">
        <v>17.982668371194535</v>
      </c>
      <c r="D3" s="613">
        <v>1381</v>
      </c>
      <c r="E3" s="613">
        <v>47.300000000000004</v>
      </c>
      <c r="F3" s="613">
        <v>46</v>
      </c>
      <c r="G3" s="613">
        <v>1.567091541135573</v>
      </c>
      <c r="H3" s="613">
        <v>1435.3414989510277</v>
      </c>
      <c r="I3" s="613">
        <v>46</v>
      </c>
      <c r="J3" s="613">
        <v>65.282668371194546</v>
      </c>
      <c r="K3" s="613">
        <v>1.567091541135573</v>
      </c>
    </row>
    <row r="4" spans="1:11" x14ac:dyDescent="0.5">
      <c r="A4" s="605">
        <v>2010</v>
      </c>
      <c r="B4" s="613">
        <v>112.18021571816215</v>
      </c>
      <c r="C4" s="613">
        <v>31.797038504060076</v>
      </c>
      <c r="D4" s="613">
        <v>4220</v>
      </c>
      <c r="E4" s="613">
        <v>108.2</v>
      </c>
      <c r="F4" s="613">
        <v>33</v>
      </c>
      <c r="G4" s="613">
        <v>1.8071220853381271</v>
      </c>
      <c r="H4" s="613">
        <v>4332.1802157181619</v>
      </c>
      <c r="I4" s="613">
        <v>33</v>
      </c>
      <c r="J4" s="613">
        <v>139.99703850406007</v>
      </c>
      <c r="K4" s="613">
        <v>1.8071220853381271</v>
      </c>
    </row>
    <row r="5" spans="1:11" x14ac:dyDescent="0.5">
      <c r="A5" s="605">
        <v>2011</v>
      </c>
      <c r="B5" s="613">
        <v>135.06660714625684</v>
      </c>
      <c r="C5" s="613">
        <v>42.656707187076478</v>
      </c>
      <c r="D5" s="613">
        <v>4371</v>
      </c>
      <c r="E5" s="613">
        <v>99.5</v>
      </c>
      <c r="F5" s="613">
        <v>13</v>
      </c>
      <c r="G5" s="613">
        <v>0.52753623188405785</v>
      </c>
      <c r="H5" s="613">
        <v>4506.0666071462565</v>
      </c>
      <c r="I5" s="613">
        <v>13</v>
      </c>
      <c r="J5" s="613">
        <v>142.15670718707648</v>
      </c>
      <c r="K5" s="613">
        <v>0.52753623188405785</v>
      </c>
    </row>
    <row r="6" spans="1:11" x14ac:dyDescent="0.5">
      <c r="A6" s="605">
        <v>2012</v>
      </c>
      <c r="B6" s="613">
        <v>40.00584048684982</v>
      </c>
      <c r="C6" s="613">
        <v>11.209797190927954</v>
      </c>
      <c r="D6" s="613">
        <v>4049</v>
      </c>
      <c r="E6" s="613">
        <v>98.800000000000011</v>
      </c>
      <c r="F6" s="613">
        <v>47</v>
      </c>
      <c r="G6" s="613">
        <v>1.7904761904761899</v>
      </c>
      <c r="H6" s="613">
        <v>4089.0058404868496</v>
      </c>
      <c r="I6" s="613">
        <v>47</v>
      </c>
      <c r="J6" s="613">
        <v>110.00979719092797</v>
      </c>
      <c r="K6" s="613">
        <v>1.7904761904761899</v>
      </c>
    </row>
    <row r="7" spans="1:11" x14ac:dyDescent="0.5">
      <c r="A7" s="605">
        <v>2013</v>
      </c>
      <c r="B7" s="613">
        <v>53.397988111243656</v>
      </c>
      <c r="C7" s="613">
        <v>18.545992377645241</v>
      </c>
      <c r="D7" s="613">
        <v>2391</v>
      </c>
      <c r="E7" s="613">
        <v>46.7</v>
      </c>
      <c r="F7" s="613">
        <v>28</v>
      </c>
      <c r="G7" s="613">
        <v>1.1407407407407406</v>
      </c>
      <c r="H7" s="613">
        <v>2444.3979881112436</v>
      </c>
      <c r="I7" s="613">
        <v>28</v>
      </c>
      <c r="J7" s="613">
        <v>65.245992377645251</v>
      </c>
      <c r="K7" s="613">
        <v>1.1407407407407406</v>
      </c>
    </row>
    <row r="8" spans="1:11" x14ac:dyDescent="0.5">
      <c r="A8" s="605">
        <v>2014</v>
      </c>
      <c r="B8" s="613">
        <v>34.166815451874363</v>
      </c>
      <c r="C8" s="613">
        <v>31.15718534812563</v>
      </c>
      <c r="D8" s="613">
        <v>3816</v>
      </c>
      <c r="E8" s="613">
        <v>108.9</v>
      </c>
      <c r="F8" s="613">
        <v>37</v>
      </c>
      <c r="G8" s="613">
        <v>2.024145030309962</v>
      </c>
      <c r="H8" s="613">
        <v>3850.1668154518743</v>
      </c>
      <c r="I8" s="613">
        <v>37</v>
      </c>
      <c r="J8" s="613">
        <v>140.05718534812564</v>
      </c>
      <c r="K8" s="613">
        <v>2.024145030309962</v>
      </c>
    </row>
    <row r="9" spans="1:11" x14ac:dyDescent="0.5">
      <c r="A9" s="605">
        <v>2015</v>
      </c>
      <c r="B9" s="613">
        <v>71.593963330268949</v>
      </c>
      <c r="C9" s="613">
        <v>97.450362403064389</v>
      </c>
      <c r="D9" s="613">
        <v>1708</v>
      </c>
      <c r="E9" s="613">
        <v>63.7</v>
      </c>
      <c r="F9" s="613">
        <v>10</v>
      </c>
      <c r="G9" s="613">
        <v>0.8202372957241999</v>
      </c>
      <c r="H9" s="613">
        <v>1779.5939633302689</v>
      </c>
      <c r="I9" s="613">
        <v>10</v>
      </c>
      <c r="J9" s="613">
        <v>161.15036240306438</v>
      </c>
      <c r="K9" s="613">
        <v>0.8202372957241999</v>
      </c>
    </row>
    <row r="10" spans="1:11" x14ac:dyDescent="0.5">
      <c r="A10" s="605">
        <v>2016</v>
      </c>
      <c r="B10" s="613">
        <v>65.465256468468766</v>
      </c>
      <c r="C10" s="613">
        <v>43.127521742642344</v>
      </c>
      <c r="D10" s="613">
        <v>3332</v>
      </c>
      <c r="E10" s="613">
        <v>64.7</v>
      </c>
      <c r="F10" s="613">
        <v>39</v>
      </c>
      <c r="G10" s="613">
        <v>2.5358414239482201</v>
      </c>
      <c r="H10" s="613">
        <v>3397.4652564684689</v>
      </c>
      <c r="I10" s="613">
        <v>39</v>
      </c>
      <c r="J10" s="613">
        <v>107.82752174264235</v>
      </c>
      <c r="K10" s="613">
        <v>2.5358414239482201</v>
      </c>
    </row>
    <row r="11" spans="1:11" x14ac:dyDescent="0.5">
      <c r="A11" s="605">
        <v>2017</v>
      </c>
      <c r="B11" s="613">
        <v>0</v>
      </c>
      <c r="C11" s="613">
        <v>0</v>
      </c>
      <c r="D11" s="613">
        <v>401</v>
      </c>
      <c r="E11" s="613">
        <v>8.5</v>
      </c>
      <c r="F11" s="613">
        <v>0.9</v>
      </c>
      <c r="G11" s="613">
        <v>0</v>
      </c>
      <c r="H11" s="613">
        <v>401</v>
      </c>
      <c r="I11" s="613">
        <v>0.9</v>
      </c>
      <c r="J11" s="613">
        <v>8.5</v>
      </c>
      <c r="K11" s="613">
        <v>0</v>
      </c>
    </row>
    <row r="12" spans="1:11" x14ac:dyDescent="0.5">
      <c r="A12" s="605">
        <v>2018</v>
      </c>
      <c r="B12" s="613">
        <v>0</v>
      </c>
      <c r="C12" s="613">
        <v>0</v>
      </c>
      <c r="D12" s="613">
        <v>2387</v>
      </c>
      <c r="E12" s="613">
        <v>64.3</v>
      </c>
      <c r="F12" s="613">
        <v>0</v>
      </c>
      <c r="G12" s="613">
        <v>0</v>
      </c>
      <c r="H12" s="613">
        <v>2387</v>
      </c>
      <c r="I12" s="613">
        <v>0</v>
      </c>
      <c r="J12" s="613">
        <v>64.3</v>
      </c>
      <c r="K12" s="613">
        <v>0</v>
      </c>
    </row>
    <row r="13" spans="1:11" x14ac:dyDescent="0.5">
      <c r="A13" s="748"/>
      <c r="B13" s="748"/>
      <c r="C13" s="748"/>
      <c r="D13" s="748"/>
      <c r="E13" s="748"/>
      <c r="F13" s="748"/>
      <c r="G13" s="748"/>
      <c r="H13" s="748"/>
      <c r="I13" s="748"/>
      <c r="J13" s="640"/>
      <c r="K13" s="640"/>
    </row>
  </sheetData>
  <mergeCells count="1">
    <mergeCell ref="A13:I13"/>
  </mergeCells>
  <pageMargins left="0.7" right="0.7" top="0.75" bottom="0.75" header="0.3" footer="0.3"/>
  <pageSetup orientation="portrait" horizontalDpi="90" verticalDpi="9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rgb="FF00B050"/>
  </sheetPr>
  <dimension ref="A1:J12"/>
  <sheetViews>
    <sheetView workbookViewId="0">
      <selection activeCell="B13" sqref="B13"/>
    </sheetView>
  </sheetViews>
  <sheetFormatPr defaultColWidth="8.87890625" defaultRowHeight="12.9" x14ac:dyDescent="0.5"/>
  <cols>
    <col min="1" max="10" width="15.76171875" style="637" customWidth="1"/>
    <col min="11" max="16384" width="8.87890625" style="614"/>
  </cols>
  <sheetData>
    <row r="1" spans="1:10" x14ac:dyDescent="0.5">
      <c r="A1" s="643" t="s">
        <v>780</v>
      </c>
      <c r="B1" s="643" t="s">
        <v>843</v>
      </c>
      <c r="C1" s="643" t="s">
        <v>844</v>
      </c>
      <c r="D1" s="643" t="s">
        <v>845</v>
      </c>
      <c r="E1" s="643" t="s">
        <v>846</v>
      </c>
      <c r="F1" s="643" t="s">
        <v>847</v>
      </c>
      <c r="G1" s="643" t="s">
        <v>848</v>
      </c>
      <c r="H1" s="643" t="s">
        <v>849</v>
      </c>
      <c r="I1" s="643" t="s">
        <v>850</v>
      </c>
      <c r="J1" s="643" t="s">
        <v>851</v>
      </c>
    </row>
    <row r="2" spans="1:10" x14ac:dyDescent="0.5">
      <c r="A2" s="643" t="s">
        <v>308</v>
      </c>
      <c r="B2" s="644">
        <v>1236.5806890634678</v>
      </c>
      <c r="C2" s="644"/>
      <c r="D2" s="645">
        <v>52.620303669798822</v>
      </c>
      <c r="E2" s="644">
        <v>286.41931093653238</v>
      </c>
      <c r="F2" s="644"/>
      <c r="G2" s="645">
        <v>6.1393078322622081</v>
      </c>
      <c r="H2" s="645">
        <v>1289.2009927332667</v>
      </c>
      <c r="I2" s="645">
        <v>292.55861876879459</v>
      </c>
      <c r="J2" s="645">
        <v>1581.7596115020613</v>
      </c>
    </row>
    <row r="3" spans="1:10" x14ac:dyDescent="0.5">
      <c r="A3" s="643" t="s">
        <v>309</v>
      </c>
      <c r="B3" s="644">
        <v>530.95702276192685</v>
      </c>
      <c r="C3" s="644">
        <v>4.2867534211606184</v>
      </c>
      <c r="D3" s="645">
        <v>21.791359812699142</v>
      </c>
      <c r="E3" s="644">
        <v>247.64814453784064</v>
      </c>
      <c r="F3" s="644">
        <v>1.7527298488626402</v>
      </c>
      <c r="G3" s="645">
        <v>4.7942033857869966</v>
      </c>
      <c r="H3" s="645">
        <v>557.03513599578662</v>
      </c>
      <c r="I3" s="645">
        <v>254.19507777249027</v>
      </c>
      <c r="J3" s="645">
        <v>811.23021376827683</v>
      </c>
    </row>
    <row r="4" spans="1:10" x14ac:dyDescent="0.5">
      <c r="A4" s="643" t="s">
        <v>310</v>
      </c>
      <c r="B4" s="644">
        <v>1649.74637958326</v>
      </c>
      <c r="C4" s="644">
        <v>10.044812799915654</v>
      </c>
      <c r="D4" s="645">
        <v>54.564586253138572</v>
      </c>
      <c r="E4" s="644">
        <v>128.05606715501068</v>
      </c>
      <c r="F4" s="644">
        <v>1.2749425262572913</v>
      </c>
      <c r="G4" s="645">
        <v>5.137503700909126</v>
      </c>
      <c r="H4" s="645">
        <v>1714.3557786363142</v>
      </c>
      <c r="I4" s="645">
        <v>134.46851338217709</v>
      </c>
      <c r="J4" s="645">
        <v>1848.8242920184912</v>
      </c>
    </row>
    <row r="5" spans="1:10" x14ac:dyDescent="0.5">
      <c r="A5" s="643" t="s">
        <v>311</v>
      </c>
      <c r="B5" s="644">
        <v>751.69118844311845</v>
      </c>
      <c r="C5" s="644">
        <v>6.2487182218833075</v>
      </c>
      <c r="D5" s="645">
        <v>44.5106166198469</v>
      </c>
      <c r="E5" s="644">
        <v>253.41381470948565</v>
      </c>
      <c r="F5" s="644">
        <v>1.1407814628562709</v>
      </c>
      <c r="G5" s="645">
        <v>8.3727741735105443</v>
      </c>
      <c r="H5" s="645">
        <v>802.45052328484871</v>
      </c>
      <c r="I5" s="645">
        <v>262.92737034585247</v>
      </c>
      <c r="J5" s="645">
        <v>1065.3778936307012</v>
      </c>
    </row>
    <row r="6" spans="1:10" x14ac:dyDescent="0.5">
      <c r="A6" s="643" t="s">
        <v>312</v>
      </c>
      <c r="B6" s="644">
        <v>972.05718370209684</v>
      </c>
      <c r="C6" s="644">
        <v>11.047913568609715</v>
      </c>
      <c r="D6" s="645">
        <v>43.913776532444757</v>
      </c>
      <c r="E6" s="644">
        <v>115.20457070976181</v>
      </c>
      <c r="F6" s="644">
        <v>1.4259109902044038</v>
      </c>
      <c r="G6" s="645">
        <v>2.05779048975492</v>
      </c>
      <c r="H6" s="645">
        <v>1027.0188738031513</v>
      </c>
      <c r="I6" s="645">
        <v>118.68827218972113</v>
      </c>
      <c r="J6" s="645">
        <v>1145.7071459928725</v>
      </c>
    </row>
    <row r="7" spans="1:10" x14ac:dyDescent="0.5">
      <c r="A7" s="643" t="s">
        <v>313</v>
      </c>
      <c r="B7" s="644">
        <v>782.50846487561626</v>
      </c>
      <c r="C7" s="644">
        <v>9.6946519175233945</v>
      </c>
      <c r="D7" s="645">
        <v>35.849389865398429</v>
      </c>
      <c r="E7" s="644">
        <v>119.43055694943168</v>
      </c>
      <c r="F7" s="644">
        <v>3.1114458999718178</v>
      </c>
      <c r="G7" s="645">
        <v>3.3595784591183868</v>
      </c>
      <c r="H7" s="645">
        <v>828.05250665853805</v>
      </c>
      <c r="I7" s="645">
        <v>125.90158130852187</v>
      </c>
      <c r="J7" s="645">
        <v>953.95408796705988</v>
      </c>
    </row>
    <row r="8" spans="1:10" x14ac:dyDescent="0.5">
      <c r="A8" s="643" t="s">
        <v>314</v>
      </c>
      <c r="B8" s="644">
        <v>318.36034791729321</v>
      </c>
      <c r="C8" s="644">
        <v>3.3413854173200046</v>
      </c>
      <c r="D8" s="645">
        <v>21.263111307994834</v>
      </c>
      <c r="E8" s="644">
        <v>22.018716334099182</v>
      </c>
      <c r="F8" s="644">
        <v>0.5207081575407555</v>
      </c>
      <c r="G8" s="645">
        <v>0.33919532009197417</v>
      </c>
      <c r="H8" s="645">
        <v>342.96484464260806</v>
      </c>
      <c r="I8" s="645">
        <v>22.878619811731912</v>
      </c>
      <c r="J8" s="645">
        <v>365.84346445433999</v>
      </c>
    </row>
    <row r="9" spans="1:10" x14ac:dyDescent="0.5">
      <c r="A9" s="643" t="s">
        <v>315</v>
      </c>
      <c r="B9" s="644">
        <v>530.83404731317262</v>
      </c>
      <c r="C9" s="644">
        <v>4.7775982510196213</v>
      </c>
      <c r="D9" s="645">
        <v>33.841804163139557</v>
      </c>
      <c r="E9" s="644">
        <v>107.30165948528426</v>
      </c>
      <c r="F9" s="644">
        <v>2.6088310691346881</v>
      </c>
      <c r="G9" s="645">
        <v>1.8827880326023569</v>
      </c>
      <c r="H9" s="645">
        <v>569.45344972733187</v>
      </c>
      <c r="I9" s="645">
        <v>111.79327858702132</v>
      </c>
      <c r="J9" s="645">
        <v>681.24672831435316</v>
      </c>
    </row>
    <row r="10" spans="1:10" x14ac:dyDescent="0.5">
      <c r="A10" s="643" t="s">
        <v>316</v>
      </c>
      <c r="B10" s="644">
        <v>594.5770374056998</v>
      </c>
      <c r="C10" s="644">
        <v>3.0214193326301397</v>
      </c>
      <c r="D10" s="645">
        <v>30.093201132680367</v>
      </c>
      <c r="E10" s="644">
        <v>37.292533690256612</v>
      </c>
      <c r="F10" s="644">
        <v>0.89162355777423574</v>
      </c>
      <c r="G10" s="645">
        <v>1.2783122271336917</v>
      </c>
      <c r="H10" s="645">
        <v>627.69165787101031</v>
      </c>
      <c r="I10" s="645">
        <v>39.462469475164539</v>
      </c>
      <c r="J10" s="645">
        <v>667.15412734617485</v>
      </c>
    </row>
    <row r="11" spans="1:10" x14ac:dyDescent="0.5">
      <c r="A11" s="643" t="s">
        <v>317</v>
      </c>
      <c r="B11" s="644">
        <v>209.37381388449859</v>
      </c>
      <c r="C11" s="644">
        <v>1.7070421138503384</v>
      </c>
      <c r="D11" s="645">
        <v>6.616864115120638</v>
      </c>
      <c r="E11" s="644">
        <v>76.824270861653545</v>
      </c>
      <c r="F11" s="644">
        <v>1.2731494115344466</v>
      </c>
      <c r="G11" s="645">
        <v>0.78756867131911434</v>
      </c>
      <c r="H11" s="645">
        <v>217.69772011346959</v>
      </c>
      <c r="I11" s="645">
        <v>78.884988944507114</v>
      </c>
      <c r="J11" s="645">
        <v>296.58270905797667</v>
      </c>
    </row>
    <row r="12" spans="1:10" x14ac:dyDescent="0.5">
      <c r="A12" s="643" t="s">
        <v>318</v>
      </c>
      <c r="B12" s="644">
        <v>276.59364741231417</v>
      </c>
      <c r="C12" s="644">
        <v>1.1609697685677396</v>
      </c>
      <c r="D12" s="645">
        <v>10.198774085916602</v>
      </c>
      <c r="E12" s="644">
        <v>18.34091050815702</v>
      </c>
      <c r="F12" s="644">
        <v>0.29380538052516919</v>
      </c>
      <c r="G12" s="645">
        <v>0.27443761290348517</v>
      </c>
      <c r="H12" s="645">
        <v>287.95339126679852</v>
      </c>
      <c r="I12" s="645">
        <v>18.909153501585674</v>
      </c>
      <c r="J12" s="645">
        <v>306.86254476838417</v>
      </c>
    </row>
  </sheetData>
  <pageMargins left="0.7" right="0.7" top="0.75" bottom="0.75" header="0.3" footer="0.3"/>
  <pageSetup orientation="portrait" horizontalDpi="90" verticalDpi="9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3"/>
  <sheetViews>
    <sheetView workbookViewId="0"/>
  </sheetViews>
  <sheetFormatPr defaultColWidth="8.87890625" defaultRowHeight="12.9" x14ac:dyDescent="0.5"/>
  <cols>
    <col min="1" max="10" width="10.76171875" style="641" customWidth="1"/>
    <col min="11" max="16384" width="8.87890625" style="615"/>
  </cols>
  <sheetData>
    <row r="1" spans="1:10" x14ac:dyDescent="0.5">
      <c r="A1" s="643" t="s">
        <v>780</v>
      </c>
      <c r="B1" s="643" t="s">
        <v>852</v>
      </c>
      <c r="C1" s="643" t="s">
        <v>853</v>
      </c>
      <c r="D1" s="643" t="s">
        <v>854</v>
      </c>
      <c r="E1" s="643" t="s">
        <v>855</v>
      </c>
      <c r="F1" s="643" t="s">
        <v>856</v>
      </c>
      <c r="G1" s="643" t="s">
        <v>857</v>
      </c>
      <c r="H1" s="643" t="s">
        <v>858</v>
      </c>
      <c r="I1" s="643" t="s">
        <v>859</v>
      </c>
      <c r="J1" s="643" t="s">
        <v>860</v>
      </c>
    </row>
    <row r="2" spans="1:10" x14ac:dyDescent="0.5">
      <c r="A2" s="643" t="s">
        <v>308</v>
      </c>
      <c r="B2" s="643">
        <v>0</v>
      </c>
      <c r="C2" s="643">
        <v>0</v>
      </c>
      <c r="D2" s="643">
        <v>0</v>
      </c>
      <c r="E2" s="643">
        <v>0</v>
      </c>
      <c r="F2" s="643">
        <v>0</v>
      </c>
      <c r="G2" s="643">
        <v>0</v>
      </c>
      <c r="H2" s="643">
        <v>0</v>
      </c>
      <c r="I2" s="643">
        <v>0</v>
      </c>
      <c r="J2" s="643">
        <v>0</v>
      </c>
    </row>
    <row r="3" spans="1:10" x14ac:dyDescent="0.5">
      <c r="A3" s="643" t="s">
        <v>309</v>
      </c>
      <c r="B3" s="643">
        <v>0</v>
      </c>
      <c r="C3" s="643">
        <v>0</v>
      </c>
      <c r="D3" s="643">
        <v>0</v>
      </c>
      <c r="E3" s="643">
        <v>0</v>
      </c>
      <c r="F3" s="643">
        <v>0</v>
      </c>
      <c r="G3" s="643">
        <v>0</v>
      </c>
      <c r="H3" s="643">
        <v>0</v>
      </c>
      <c r="I3" s="643">
        <v>0</v>
      </c>
      <c r="J3" s="643">
        <v>0</v>
      </c>
    </row>
    <row r="4" spans="1:10" x14ac:dyDescent="0.5">
      <c r="A4" s="643" t="s">
        <v>310</v>
      </c>
      <c r="B4" s="643">
        <v>0</v>
      </c>
      <c r="C4" s="643">
        <v>0</v>
      </c>
      <c r="D4" s="643">
        <v>0</v>
      </c>
      <c r="E4" s="643">
        <v>0</v>
      </c>
      <c r="F4" s="643">
        <v>0</v>
      </c>
      <c r="G4" s="643">
        <v>0</v>
      </c>
      <c r="H4" s="643">
        <v>0</v>
      </c>
      <c r="I4" s="643">
        <v>0</v>
      </c>
      <c r="J4" s="643">
        <v>0</v>
      </c>
    </row>
    <row r="5" spans="1:10" x14ac:dyDescent="0.5">
      <c r="A5" s="643" t="s">
        <v>311</v>
      </c>
      <c r="B5" s="643">
        <v>0</v>
      </c>
      <c r="C5" s="643">
        <v>0</v>
      </c>
      <c r="D5" s="643">
        <v>0</v>
      </c>
      <c r="E5" s="643">
        <v>0</v>
      </c>
      <c r="F5" s="643">
        <v>0</v>
      </c>
      <c r="G5" s="643">
        <v>0</v>
      </c>
      <c r="H5" s="643">
        <v>0</v>
      </c>
      <c r="I5" s="643">
        <v>0</v>
      </c>
      <c r="J5" s="643">
        <v>0</v>
      </c>
    </row>
    <row r="6" spans="1:10" x14ac:dyDescent="0.5">
      <c r="A6" s="643" t="s">
        <v>312</v>
      </c>
      <c r="B6" s="643">
        <v>0</v>
      </c>
      <c r="C6" s="643">
        <v>0</v>
      </c>
      <c r="D6" s="643">
        <v>0</v>
      </c>
      <c r="E6" s="643">
        <v>0</v>
      </c>
      <c r="F6" s="643">
        <v>0</v>
      </c>
      <c r="G6" s="643">
        <v>0</v>
      </c>
      <c r="H6" s="643">
        <v>0</v>
      </c>
      <c r="I6" s="643">
        <v>0</v>
      </c>
      <c r="J6" s="643">
        <v>0</v>
      </c>
    </row>
    <row r="7" spans="1:10" x14ac:dyDescent="0.5">
      <c r="A7" s="643" t="s">
        <v>313</v>
      </c>
      <c r="B7" s="643">
        <v>0</v>
      </c>
      <c r="C7" s="643">
        <v>0</v>
      </c>
      <c r="D7" s="643">
        <v>0</v>
      </c>
      <c r="E7" s="643">
        <v>0</v>
      </c>
      <c r="F7" s="643">
        <v>0</v>
      </c>
      <c r="G7" s="643">
        <v>0</v>
      </c>
      <c r="H7" s="643">
        <v>0</v>
      </c>
      <c r="I7" s="643">
        <v>0</v>
      </c>
      <c r="J7" s="643">
        <v>0</v>
      </c>
    </row>
    <row r="8" spans="1:10" x14ac:dyDescent="0.5">
      <c r="A8" s="643" t="s">
        <v>314</v>
      </c>
      <c r="B8" s="643">
        <v>0</v>
      </c>
      <c r="C8" s="643">
        <v>0</v>
      </c>
      <c r="D8" s="643">
        <v>0</v>
      </c>
      <c r="E8" s="643">
        <v>0</v>
      </c>
      <c r="F8" s="643">
        <v>0</v>
      </c>
      <c r="G8" s="643">
        <v>0</v>
      </c>
      <c r="H8" s="643">
        <v>0</v>
      </c>
      <c r="I8" s="643">
        <v>0</v>
      </c>
      <c r="J8" s="643">
        <v>0</v>
      </c>
    </row>
    <row r="9" spans="1:10" x14ac:dyDescent="0.5">
      <c r="A9" s="643" t="s">
        <v>315</v>
      </c>
      <c r="B9" s="643">
        <v>0</v>
      </c>
      <c r="C9" s="643">
        <v>0</v>
      </c>
      <c r="D9" s="643">
        <v>0</v>
      </c>
      <c r="E9" s="643">
        <v>0</v>
      </c>
      <c r="F9" s="643">
        <v>0</v>
      </c>
      <c r="G9" s="643">
        <v>0</v>
      </c>
      <c r="H9" s="643">
        <v>0</v>
      </c>
      <c r="I9" s="643">
        <v>0</v>
      </c>
      <c r="J9" s="643">
        <v>0</v>
      </c>
    </row>
    <row r="10" spans="1:10" x14ac:dyDescent="0.5">
      <c r="A10" s="643" t="s">
        <v>316</v>
      </c>
      <c r="B10" s="643">
        <v>0</v>
      </c>
      <c r="C10" s="643">
        <v>0</v>
      </c>
      <c r="D10" s="643">
        <v>0</v>
      </c>
      <c r="E10" s="643">
        <v>0</v>
      </c>
      <c r="F10" s="643">
        <v>0</v>
      </c>
      <c r="G10" s="643">
        <v>0</v>
      </c>
      <c r="H10" s="643">
        <v>0</v>
      </c>
      <c r="I10" s="643">
        <v>0</v>
      </c>
      <c r="J10" s="643">
        <v>0</v>
      </c>
    </row>
    <row r="11" spans="1:10" x14ac:dyDescent="0.5">
      <c r="A11" s="643" t="s">
        <v>317</v>
      </c>
      <c r="B11" s="643">
        <v>0</v>
      </c>
      <c r="C11" s="643">
        <v>0</v>
      </c>
      <c r="D11" s="643">
        <v>0</v>
      </c>
      <c r="E11" s="643">
        <v>0</v>
      </c>
      <c r="F11" s="643">
        <v>0</v>
      </c>
      <c r="G11" s="643">
        <v>0</v>
      </c>
      <c r="H11" s="643">
        <v>0</v>
      </c>
      <c r="I11" s="643">
        <v>0</v>
      </c>
      <c r="J11" s="643">
        <v>0</v>
      </c>
    </row>
    <row r="12" spans="1:10" x14ac:dyDescent="0.5">
      <c r="A12" s="643" t="s">
        <v>318</v>
      </c>
      <c r="B12" s="643">
        <v>0</v>
      </c>
      <c r="C12" s="643">
        <v>0</v>
      </c>
      <c r="D12" s="643">
        <v>0</v>
      </c>
      <c r="E12" s="643">
        <v>0</v>
      </c>
      <c r="F12" s="643">
        <v>0</v>
      </c>
      <c r="G12" s="643">
        <v>0</v>
      </c>
      <c r="H12" s="643">
        <v>0</v>
      </c>
      <c r="I12" s="643">
        <v>0</v>
      </c>
      <c r="J12" s="643">
        <v>0</v>
      </c>
    </row>
    <row r="13" spans="1:10" ht="19.5" customHeight="1" x14ac:dyDescent="0.5">
      <c r="A13" s="643"/>
      <c r="B13" s="643"/>
      <c r="C13" s="643"/>
      <c r="D13" s="643"/>
      <c r="E13" s="648"/>
      <c r="F13" s="648"/>
      <c r="G13" s="648"/>
      <c r="H13" s="643"/>
      <c r="I13" s="643"/>
      <c r="J13" s="64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rgb="FF00B050"/>
  </sheetPr>
  <dimension ref="A1:L13"/>
  <sheetViews>
    <sheetView workbookViewId="0">
      <selection activeCell="B21" sqref="B21"/>
    </sheetView>
  </sheetViews>
  <sheetFormatPr defaultColWidth="8.87890625" defaultRowHeight="12.9" x14ac:dyDescent="0.5"/>
  <cols>
    <col min="1" max="12" width="15.76171875" style="642" customWidth="1"/>
    <col min="13" max="13" width="5.1171875" style="642" customWidth="1"/>
    <col min="14" max="14" width="6.41015625" style="642" customWidth="1"/>
    <col min="15" max="15" width="5.3515625" style="642" customWidth="1"/>
    <col min="16" max="16" width="6" style="642" customWidth="1"/>
    <col min="17" max="17" width="5.64453125" style="642" customWidth="1"/>
    <col min="18" max="18" width="6.1171875" style="642" customWidth="1"/>
    <col min="19" max="20" width="6" style="642" customWidth="1"/>
    <col min="21" max="21" width="6.1171875" style="642" customWidth="1"/>
    <col min="22" max="16384" width="8.87890625" style="642"/>
  </cols>
  <sheetData>
    <row r="1" spans="1:12" x14ac:dyDescent="0.5">
      <c r="A1" s="630" t="s">
        <v>82</v>
      </c>
      <c r="B1" s="630" t="s">
        <v>861</v>
      </c>
      <c r="C1" s="630" t="s">
        <v>862</v>
      </c>
      <c r="D1" s="630" t="s">
        <v>863</v>
      </c>
      <c r="E1" s="630" t="s">
        <v>864</v>
      </c>
      <c r="F1" s="630" t="s">
        <v>865</v>
      </c>
      <c r="G1" s="630" t="s">
        <v>866</v>
      </c>
      <c r="H1" s="630" t="s">
        <v>867</v>
      </c>
      <c r="I1" s="630" t="s">
        <v>868</v>
      </c>
      <c r="J1" s="630" t="s">
        <v>869</v>
      </c>
      <c r="K1" s="630" t="s">
        <v>870</v>
      </c>
      <c r="L1" s="630" t="s">
        <v>871</v>
      </c>
    </row>
    <row r="2" spans="1:12" x14ac:dyDescent="0.5">
      <c r="A2" s="630">
        <v>2008</v>
      </c>
      <c r="B2" s="649">
        <v>11.243264568216743</v>
      </c>
      <c r="C2" s="649">
        <v>6.2339713957318077</v>
      </c>
      <c r="D2" s="649">
        <v>4369.6544593181079</v>
      </c>
      <c r="E2" s="649">
        <v>51.5621517868382</v>
      </c>
      <c r="F2" s="649">
        <v>330.71066802707708</v>
      </c>
      <c r="G2" s="649">
        <v>1238.5730419644135</v>
      </c>
      <c r="H2" s="649">
        <v>11.720430873530736</v>
      </c>
      <c r="I2" s="649">
        <v>75.172803877047201</v>
      </c>
      <c r="J2" s="649">
        <v>5682.7533485111071</v>
      </c>
      <c r="K2" s="649">
        <v>412.11744329985612</v>
      </c>
      <c r="L2" s="650">
        <v>6.1591358369597797E-3</v>
      </c>
    </row>
    <row r="3" spans="1:12" x14ac:dyDescent="0.5">
      <c r="A3" s="630">
        <v>2009</v>
      </c>
      <c r="B3" s="649">
        <v>0</v>
      </c>
      <c r="C3" s="649">
        <v>0</v>
      </c>
      <c r="D3" s="649">
        <v>8185.9181513395661</v>
      </c>
      <c r="E3" s="649">
        <v>85.359672208193174</v>
      </c>
      <c r="F3" s="649">
        <v>675.10402856252938</v>
      </c>
      <c r="G3" s="649">
        <v>1266.5719363220928</v>
      </c>
      <c r="H3" s="649">
        <v>11.027655520750397</v>
      </c>
      <c r="I3" s="649">
        <v>87.217001601182687</v>
      </c>
      <c r="J3" s="649">
        <v>9548.8774153906033</v>
      </c>
      <c r="K3" s="649">
        <v>762.32103016371207</v>
      </c>
      <c r="L3" s="650">
        <v>5.9142476302473379E-3</v>
      </c>
    </row>
    <row r="4" spans="1:12" x14ac:dyDescent="0.5">
      <c r="A4" s="630">
        <v>2010</v>
      </c>
      <c r="B4" s="649">
        <v>0</v>
      </c>
      <c r="C4" s="649">
        <v>0</v>
      </c>
      <c r="D4" s="649">
        <v>7973.795166628458</v>
      </c>
      <c r="E4" s="649">
        <v>68.397341538559971</v>
      </c>
      <c r="F4" s="649">
        <v>623.27766832591215</v>
      </c>
      <c r="G4" s="649">
        <v>1703.447691111209</v>
      </c>
      <c r="H4" s="649">
        <v>15.884781691917929</v>
      </c>
      <c r="I4" s="649">
        <v>144.75167414545089</v>
      </c>
      <c r="J4" s="649">
        <v>9761.5249809701454</v>
      </c>
      <c r="K4" s="649">
        <v>768.02934247136307</v>
      </c>
      <c r="L4" s="650">
        <v>7.2788327404124152E-3</v>
      </c>
    </row>
    <row r="5" spans="1:12" x14ac:dyDescent="0.5">
      <c r="A5" s="630">
        <v>2011</v>
      </c>
      <c r="B5" s="649">
        <v>0</v>
      </c>
      <c r="C5" s="649">
        <v>0</v>
      </c>
      <c r="D5" s="649">
        <v>8549</v>
      </c>
      <c r="E5" s="649">
        <v>103.92679386730434</v>
      </c>
      <c r="F5" s="649">
        <v>620.80087311577734</v>
      </c>
      <c r="G5" s="649">
        <v>628</v>
      </c>
      <c r="H5" s="649">
        <v>9.0442348143633939</v>
      </c>
      <c r="I5" s="649">
        <v>54.025229303136385</v>
      </c>
      <c r="J5" s="649">
        <v>9289.971028681668</v>
      </c>
      <c r="K5" s="649">
        <v>674.82610241891371</v>
      </c>
      <c r="L5" s="650">
        <v>7.2339773362669431E-3</v>
      </c>
    </row>
    <row r="6" spans="1:12" x14ac:dyDescent="0.5">
      <c r="A6" s="630">
        <v>2012</v>
      </c>
      <c r="B6" s="649">
        <v>0</v>
      </c>
      <c r="C6" s="649">
        <v>0</v>
      </c>
      <c r="D6" s="649">
        <v>10294.525315521223</v>
      </c>
      <c r="E6" s="649">
        <v>144.99904415736583</v>
      </c>
      <c r="F6" s="649">
        <v>850.50973276545994</v>
      </c>
      <c r="G6" s="649">
        <v>450.5415737312054</v>
      </c>
      <c r="H6" s="649">
        <v>5.440659685222113</v>
      </c>
      <c r="I6" s="649">
        <v>31.912858749083043</v>
      </c>
      <c r="J6" s="649">
        <v>10895.506593095017</v>
      </c>
      <c r="K6" s="649">
        <v>882.422591514543</v>
      </c>
      <c r="L6" s="650">
        <v>1.5921410423196738E-2</v>
      </c>
    </row>
    <row r="7" spans="1:12" x14ac:dyDescent="0.5">
      <c r="A7" s="630">
        <v>2013</v>
      </c>
      <c r="B7" s="649">
        <v>3.2582679571843101</v>
      </c>
      <c r="C7" s="649">
        <v>3.5493959873904912</v>
      </c>
      <c r="D7" s="649">
        <v>4202.2644195862422</v>
      </c>
      <c r="E7" s="649">
        <v>69.711340588294377</v>
      </c>
      <c r="F7" s="649">
        <v>499.05754199657054</v>
      </c>
      <c r="G7" s="649">
        <v>310.76238419315183</v>
      </c>
      <c r="H7" s="649">
        <v>5.577487352678121</v>
      </c>
      <c r="I7" s="649">
        <v>39.928756286346527</v>
      </c>
      <c r="J7" s="649">
        <v>4591.5738996775508</v>
      </c>
      <c r="K7" s="649">
        <v>542.53569427030754</v>
      </c>
      <c r="L7" s="650">
        <v>6.7301254843745075E-3</v>
      </c>
    </row>
    <row r="8" spans="1:12" x14ac:dyDescent="0.5">
      <c r="A8" s="630">
        <v>2014</v>
      </c>
      <c r="B8" s="649">
        <v>20.942182569441901</v>
      </c>
      <c r="C8" s="649">
        <v>19.272508704875385</v>
      </c>
      <c r="D8" s="649">
        <v>5220.549500280862</v>
      </c>
      <c r="E8" s="649">
        <v>63.593790709007791</v>
      </c>
      <c r="F8" s="649">
        <v>511.45410895268668</v>
      </c>
      <c r="G8" s="649">
        <v>708.46056218124374</v>
      </c>
      <c r="H8" s="649">
        <v>9.1540888857217784</v>
      </c>
      <c r="I8" s="649">
        <v>73.621910600422083</v>
      </c>
      <c r="J8" s="649">
        <v>6022.7001246262762</v>
      </c>
      <c r="K8" s="649">
        <v>604.34852825798419</v>
      </c>
      <c r="L8" s="650">
        <v>6.2159674386059807E-3</v>
      </c>
    </row>
    <row r="9" spans="1:12" x14ac:dyDescent="0.5">
      <c r="A9" s="630">
        <v>2015</v>
      </c>
      <c r="B9" s="649">
        <v>27.359119290620328</v>
      </c>
      <c r="C9" s="649">
        <v>29.317962023442124</v>
      </c>
      <c r="D9" s="649">
        <v>3575</v>
      </c>
      <c r="E9" s="649">
        <v>11.815315315315317</v>
      </c>
      <c r="F9" s="649">
        <v>248.12162162162164</v>
      </c>
      <c r="G9" s="649">
        <v>437</v>
      </c>
      <c r="H9" s="649">
        <v>2.3498525635702578</v>
      </c>
      <c r="I9" s="649">
        <v>49.346903834975407</v>
      </c>
      <c r="J9" s="649">
        <v>4053.5242871695054</v>
      </c>
      <c r="K9" s="649">
        <v>326.78648748003917</v>
      </c>
      <c r="L9" s="650">
        <v>4.2227090586939003E-3</v>
      </c>
    </row>
    <row r="10" spans="1:12" x14ac:dyDescent="0.5">
      <c r="A10" s="630">
        <v>2016</v>
      </c>
      <c r="B10" s="649">
        <v>19.520545438082742</v>
      </c>
      <c r="C10" s="649">
        <v>9.5611636484925651</v>
      </c>
      <c r="D10" s="649">
        <v>2979</v>
      </c>
      <c r="E10" s="649">
        <v>18.68375980343453</v>
      </c>
      <c r="F10" s="649">
        <v>135.90003843992116</v>
      </c>
      <c r="G10" s="649">
        <v>352.18106611530447</v>
      </c>
      <c r="H10" s="649">
        <v>2.5427605075524919</v>
      </c>
      <c r="I10" s="649">
        <v>18.495273668438752</v>
      </c>
      <c r="J10" s="649">
        <v>3371.9281318643739</v>
      </c>
      <c r="K10" s="649">
        <v>163.95647575685248</v>
      </c>
      <c r="L10" s="650">
        <v>5.6253817326472359E-3</v>
      </c>
    </row>
    <row r="11" spans="1:12" x14ac:dyDescent="0.5">
      <c r="A11" s="630">
        <v>2017</v>
      </c>
      <c r="B11" s="649">
        <v>0</v>
      </c>
      <c r="C11" s="649">
        <v>0</v>
      </c>
      <c r="D11" s="649">
        <v>1038</v>
      </c>
      <c r="E11" s="649">
        <v>2.1082315881626466</v>
      </c>
      <c r="F11" s="649">
        <v>93.044882568594844</v>
      </c>
      <c r="G11" s="649">
        <v>138</v>
      </c>
      <c r="H11" s="649">
        <v>0.35686141375585922</v>
      </c>
      <c r="I11" s="649">
        <v>15.749753737972652</v>
      </c>
      <c r="J11" s="649">
        <v>1178.4650930019186</v>
      </c>
      <c r="K11" s="649">
        <v>108.7946363065675</v>
      </c>
      <c r="L11" s="650">
        <v>3.8981918487429683E-3</v>
      </c>
    </row>
    <row r="12" spans="1:12" x14ac:dyDescent="0.5">
      <c r="A12" s="630">
        <v>2018</v>
      </c>
      <c r="B12" s="649">
        <v>0</v>
      </c>
      <c r="C12" s="649">
        <v>0</v>
      </c>
      <c r="D12" s="649">
        <v>2217.5557713814824</v>
      </c>
      <c r="E12" s="649">
        <v>8.4304795803336052</v>
      </c>
      <c r="F12" s="649">
        <v>143.26275872945894</v>
      </c>
      <c r="G12" s="649">
        <v>6.2548616699289621</v>
      </c>
      <c r="H12" s="649">
        <v>2.9509300845309283E-2</v>
      </c>
      <c r="I12" s="649">
        <v>0.50146421766308003</v>
      </c>
      <c r="J12" s="649">
        <v>2232.2706219325905</v>
      </c>
      <c r="K12" s="649">
        <v>143.76422294712202</v>
      </c>
      <c r="L12" s="650">
        <v>6.617455601708724E-3</v>
      </c>
    </row>
    <row r="13" spans="1:12" ht="13.5" customHeight="1" x14ac:dyDescent="0.5"/>
  </sheetData>
  <pageMargins left="0.7" right="0.7" top="0.75" bottom="0.75" header="0.3" footer="0.3"/>
  <pageSetup orientation="portrait" horizontalDpi="90" verticalDpi="9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12"/>
  <sheetViews>
    <sheetView workbookViewId="0">
      <selection activeCell="H29" sqref="H29"/>
    </sheetView>
  </sheetViews>
  <sheetFormatPr defaultColWidth="8.87890625" defaultRowHeight="12.9" x14ac:dyDescent="0.5"/>
  <cols>
    <col min="1" max="12" width="15.76171875" style="642" customWidth="1"/>
    <col min="13" max="13" width="5.1171875" style="642" customWidth="1"/>
    <col min="14" max="14" width="6.41015625" style="642" customWidth="1"/>
    <col min="15" max="15" width="5.3515625" style="642" customWidth="1"/>
    <col min="16" max="16" width="6" style="642" customWidth="1"/>
    <col min="17" max="17" width="5.64453125" style="642" customWidth="1"/>
    <col min="18" max="18" width="6.1171875" style="642" customWidth="1"/>
    <col min="19" max="20" width="6" style="642" customWidth="1"/>
    <col min="21" max="21" width="6.1171875" style="642" customWidth="1"/>
    <col min="22" max="16384" width="8.87890625" style="642"/>
  </cols>
  <sheetData>
    <row r="1" spans="1:12" x14ac:dyDescent="0.5">
      <c r="A1" s="630" t="s">
        <v>82</v>
      </c>
      <c r="B1" s="630" t="s">
        <v>861</v>
      </c>
      <c r="C1" s="630" t="s">
        <v>862</v>
      </c>
      <c r="D1" s="630" t="s">
        <v>863</v>
      </c>
      <c r="E1" s="630" t="s">
        <v>864</v>
      </c>
      <c r="F1" s="630" t="s">
        <v>865</v>
      </c>
      <c r="G1" s="630" t="s">
        <v>866</v>
      </c>
      <c r="H1" s="630" t="s">
        <v>867</v>
      </c>
      <c r="I1" s="630" t="s">
        <v>868</v>
      </c>
      <c r="J1" s="630" t="s">
        <v>872</v>
      </c>
      <c r="K1" s="630" t="s">
        <v>873</v>
      </c>
      <c r="L1" s="630" t="s">
        <v>874</v>
      </c>
    </row>
    <row r="2" spans="1:12" x14ac:dyDescent="0.5">
      <c r="A2" s="630">
        <v>2008</v>
      </c>
      <c r="B2" s="649">
        <v>0.25232634180204416</v>
      </c>
      <c r="C2" s="649">
        <v>2.8787694249407324E-2</v>
      </c>
      <c r="D2" s="649">
        <v>107.34554068189195</v>
      </c>
      <c r="E2" s="649">
        <v>0</v>
      </c>
      <c r="F2" s="649">
        <v>1.5271801860847547</v>
      </c>
      <c r="G2" s="649">
        <v>30.426958035586523</v>
      </c>
      <c r="H2" s="649">
        <v>0</v>
      </c>
      <c r="I2" s="649">
        <v>0.34713853441238923</v>
      </c>
      <c r="J2" s="649">
        <v>138.02482505928052</v>
      </c>
      <c r="K2" s="649">
        <v>1.9031064147465513</v>
      </c>
      <c r="L2" s="650">
        <v>1.2927952151294572E-4</v>
      </c>
    </row>
    <row r="3" spans="1:12" x14ac:dyDescent="0.5">
      <c r="A3" s="630">
        <v>2009</v>
      </c>
      <c r="B3" s="649">
        <v>0</v>
      </c>
      <c r="C3" s="649">
        <v>0</v>
      </c>
      <c r="D3" s="649">
        <v>35.081848660434275</v>
      </c>
      <c r="E3" s="649">
        <v>0</v>
      </c>
      <c r="F3" s="649">
        <v>11.836299229277531</v>
      </c>
      <c r="G3" s="649">
        <v>5.4280636779068718</v>
      </c>
      <c r="H3" s="649">
        <v>0</v>
      </c>
      <c r="I3" s="649">
        <v>1.5291369702385944</v>
      </c>
      <c r="J3" s="649">
        <v>40.509912338341145</v>
      </c>
      <c r="K3" s="649">
        <v>13.365436199516125</v>
      </c>
      <c r="L3" s="650">
        <v>1.101294472647042E-3</v>
      </c>
    </row>
    <row r="4" spans="1:12" x14ac:dyDescent="0.5">
      <c r="A4" s="630">
        <v>2010</v>
      </c>
      <c r="B4" s="649">
        <v>0</v>
      </c>
      <c r="C4" s="649">
        <v>0</v>
      </c>
      <c r="D4" s="649">
        <v>96.204833371542591</v>
      </c>
      <c r="E4" s="649">
        <v>0</v>
      </c>
      <c r="F4" s="649">
        <v>17.424990135527892</v>
      </c>
      <c r="G4" s="649">
        <v>20.552308888790503</v>
      </c>
      <c r="H4" s="649">
        <v>0</v>
      </c>
      <c r="I4" s="649">
        <v>4.0468263540716496</v>
      </c>
      <c r="J4" s="649">
        <v>116.7571422603331</v>
      </c>
      <c r="K4" s="649">
        <v>21.47181648959954</v>
      </c>
      <c r="L4" s="650">
        <v>1.081799925269565E-3</v>
      </c>
    </row>
    <row r="5" spans="1:12" x14ac:dyDescent="0.5">
      <c r="A5" s="630">
        <v>2011</v>
      </c>
      <c r="B5" s="649">
        <v>0</v>
      </c>
      <c r="C5" s="649">
        <v>0</v>
      </c>
      <c r="D5" s="649">
        <v>0</v>
      </c>
      <c r="E5" s="649">
        <v>0</v>
      </c>
      <c r="F5" s="649">
        <v>10.072333016918455</v>
      </c>
      <c r="G5" s="649">
        <v>0</v>
      </c>
      <c r="H5" s="649">
        <v>0</v>
      </c>
      <c r="I5" s="649">
        <v>0.87654532140950614</v>
      </c>
      <c r="J5" s="649">
        <v>0</v>
      </c>
      <c r="K5" s="649">
        <v>10.94887833832796</v>
      </c>
      <c r="L5" s="650">
        <v>2.5046931769759579E-3</v>
      </c>
    </row>
    <row r="6" spans="1:12" x14ac:dyDescent="0.5">
      <c r="A6" s="630">
        <v>2012</v>
      </c>
      <c r="B6" s="649">
        <v>0</v>
      </c>
      <c r="C6" s="649">
        <v>0</v>
      </c>
      <c r="D6" s="649">
        <v>10.474684478777247</v>
      </c>
      <c r="E6" s="649">
        <v>4.5933548003183073</v>
      </c>
      <c r="F6" s="649">
        <v>14.497868276855925</v>
      </c>
      <c r="G6" s="649">
        <v>0.45842626879461801</v>
      </c>
      <c r="H6" s="649">
        <v>0.17235203464438678</v>
      </c>
      <c r="I6" s="649">
        <v>0.54398956844119084</v>
      </c>
      <c r="J6" s="649">
        <v>15.698817582534559</v>
      </c>
      <c r="K6" s="649">
        <v>15.041857845297116</v>
      </c>
      <c r="L6" s="650">
        <v>2.8960321589969725E-3</v>
      </c>
    </row>
    <row r="7" spans="1:12" x14ac:dyDescent="0.5">
      <c r="A7" s="630">
        <v>2013</v>
      </c>
      <c r="B7" s="649">
        <v>1.1001566257800506E-2</v>
      </c>
      <c r="C7" s="649">
        <v>1.3734489167398859E-2</v>
      </c>
      <c r="D7" s="649">
        <v>16.735580413758385</v>
      </c>
      <c r="E7" s="649">
        <v>0</v>
      </c>
      <c r="F7" s="649">
        <v>1.93111741513515</v>
      </c>
      <c r="G7" s="649">
        <v>1.2376158068482144</v>
      </c>
      <c r="H7" s="649">
        <v>0</v>
      </c>
      <c r="I7" s="649">
        <v>0.15450546307900651</v>
      </c>
      <c r="J7" s="649">
        <v>17.984197786864399</v>
      </c>
      <c r="K7" s="649">
        <v>2.0993573673815553</v>
      </c>
      <c r="L7" s="650">
        <v>1.6325187574549075E-3</v>
      </c>
    </row>
    <row r="8" spans="1:12" x14ac:dyDescent="0.5">
      <c r="A8" s="630">
        <v>2014</v>
      </c>
      <c r="B8" s="649">
        <v>0.11883195391660838</v>
      </c>
      <c r="C8" s="649">
        <v>0.16022677176610434</v>
      </c>
      <c r="D8" s="649">
        <v>33.450499719137852</v>
      </c>
      <c r="E8" s="649">
        <v>0</v>
      </c>
      <c r="F8" s="649">
        <v>4.2521003383056071</v>
      </c>
      <c r="G8" s="649">
        <v>4.5394378187562419</v>
      </c>
      <c r="H8" s="649">
        <v>0</v>
      </c>
      <c r="I8" s="649">
        <v>0.61207397788199058</v>
      </c>
      <c r="J8" s="649">
        <v>38.108769491810705</v>
      </c>
      <c r="K8" s="649">
        <v>5.0244010879537022</v>
      </c>
      <c r="L8" s="650">
        <v>9.2887578585006299E-4</v>
      </c>
    </row>
    <row r="9" spans="1:12" x14ac:dyDescent="0.5">
      <c r="A9" s="630">
        <v>2015</v>
      </c>
      <c r="B9" s="649">
        <v>0</v>
      </c>
      <c r="C9" s="649">
        <v>0.27921868593754401</v>
      </c>
      <c r="D9" s="649">
        <v>0</v>
      </c>
      <c r="E9" s="649">
        <v>0</v>
      </c>
      <c r="F9" s="649">
        <v>2.3630630630630627</v>
      </c>
      <c r="G9" s="649">
        <v>0</v>
      </c>
      <c r="H9" s="649">
        <v>0</v>
      </c>
      <c r="I9" s="649">
        <v>0.46997051271405144</v>
      </c>
      <c r="J9" s="649">
        <v>0</v>
      </c>
      <c r="K9" s="649">
        <v>3.1122522617146577</v>
      </c>
      <c r="L9" s="650">
        <v>9.4674562234523354E-4</v>
      </c>
    </row>
    <row r="10" spans="1:12" x14ac:dyDescent="0.5">
      <c r="A10" s="630">
        <v>2016</v>
      </c>
      <c r="B10" s="649">
        <v>4.5708847655835487E-2</v>
      </c>
      <c r="C10" s="649">
        <v>0.29313206576885897</v>
      </c>
      <c r="D10" s="649">
        <v>0</v>
      </c>
      <c r="E10" s="649">
        <v>0.64969436585806317</v>
      </c>
      <c r="F10" s="649">
        <v>4.1665073907862844</v>
      </c>
      <c r="G10" s="649">
        <v>0</v>
      </c>
      <c r="H10" s="649">
        <v>8.8419953631579118E-2</v>
      </c>
      <c r="I10" s="649">
        <v>0.56703953375430505</v>
      </c>
      <c r="J10" s="649">
        <v>0.78382316714547784</v>
      </c>
      <c r="K10" s="649">
        <v>5.0266789903094482</v>
      </c>
      <c r="L10" s="650">
        <v>1.4489999133829629E-3</v>
      </c>
    </row>
    <row r="11" spans="1:12" x14ac:dyDescent="0.5">
      <c r="A11" s="630">
        <v>2017</v>
      </c>
      <c r="B11" s="649">
        <v>0</v>
      </c>
      <c r="C11" s="649">
        <v>0</v>
      </c>
      <c r="D11" s="649">
        <v>0</v>
      </c>
      <c r="E11" s="649">
        <v>0</v>
      </c>
      <c r="F11" s="649">
        <v>0.54688584324251366</v>
      </c>
      <c r="G11" s="649">
        <v>0</v>
      </c>
      <c r="H11" s="649">
        <v>0</v>
      </c>
      <c r="I11" s="649">
        <v>9.2571639794409633E-2</v>
      </c>
      <c r="J11" s="649">
        <v>0</v>
      </c>
      <c r="K11" s="649">
        <v>0.63945748303692329</v>
      </c>
      <c r="L11" s="650">
        <v>8.5147467781214816E-4</v>
      </c>
    </row>
    <row r="12" spans="1:12" x14ac:dyDescent="0.5">
      <c r="A12" s="630">
        <v>2018</v>
      </c>
      <c r="B12" s="649">
        <v>0</v>
      </c>
      <c r="C12" s="649">
        <v>0</v>
      </c>
      <c r="D12" s="649">
        <v>52.444228618517805</v>
      </c>
      <c r="E12" s="649">
        <v>0</v>
      </c>
      <c r="F12" s="649">
        <v>1.5067616902074856</v>
      </c>
      <c r="G12" s="649">
        <v>0.14792475554768264</v>
      </c>
      <c r="H12" s="649">
        <v>0</v>
      </c>
      <c r="I12" s="649">
        <v>5.2741345963570815E-3</v>
      </c>
      <c r="J12" s="649">
        <v>52.592153374065489</v>
      </c>
      <c r="K12" s="649">
        <v>1.5120358248038428</v>
      </c>
      <c r="L12" s="650">
        <v>6.3477574508977446E-4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50"/>
  </sheetPr>
  <dimension ref="A1:J12"/>
  <sheetViews>
    <sheetView zoomScaleNormal="100" workbookViewId="0">
      <selection activeCell="B12" sqref="B12"/>
    </sheetView>
  </sheetViews>
  <sheetFormatPr defaultColWidth="8.87890625" defaultRowHeight="12.3" x14ac:dyDescent="0.4"/>
  <cols>
    <col min="1" max="10" width="15.76171875" style="582" customWidth="1"/>
    <col min="11" max="16384" width="8.87890625" style="582"/>
  </cols>
  <sheetData>
    <row r="1" spans="1:10" x14ac:dyDescent="0.4">
      <c r="A1" s="582" t="s">
        <v>82</v>
      </c>
      <c r="B1" s="582" t="s">
        <v>661</v>
      </c>
      <c r="C1" s="582" t="s">
        <v>662</v>
      </c>
      <c r="D1" s="582" t="s">
        <v>663</v>
      </c>
      <c r="E1" s="582" t="s">
        <v>664</v>
      </c>
      <c r="F1" s="582" t="s">
        <v>665</v>
      </c>
      <c r="G1" s="582" t="s">
        <v>666</v>
      </c>
      <c r="H1" s="582" t="s">
        <v>667</v>
      </c>
      <c r="I1" s="582" t="s">
        <v>669</v>
      </c>
      <c r="J1" s="582" t="s">
        <v>668</v>
      </c>
    </row>
    <row r="2" spans="1:10" x14ac:dyDescent="0.4">
      <c r="A2" s="582">
        <v>2008</v>
      </c>
      <c r="B2" s="580">
        <v>833.33296917299526</v>
      </c>
      <c r="C2" s="580">
        <v>18.189081801198075</v>
      </c>
      <c r="D2" s="580">
        <v>113.80668824734558</v>
      </c>
      <c r="E2" s="581">
        <v>1.9E-2</v>
      </c>
      <c r="F2" s="581" t="s">
        <v>58</v>
      </c>
      <c r="G2" s="581">
        <v>0.11799999999999999</v>
      </c>
      <c r="H2" s="581">
        <f t="shared" ref="H2:H11" si="0">C2/B2</f>
        <v>2.1826907699630593E-2</v>
      </c>
      <c r="I2" s="581">
        <f t="shared" ref="I2:I12" si="1">D2/B2</f>
        <v>0.13656808557603095</v>
      </c>
      <c r="J2" s="581">
        <f t="shared" ref="J2:J10" si="2">H2+I2</f>
        <v>0.15839499327566153</v>
      </c>
    </row>
    <row r="3" spans="1:10" x14ac:dyDescent="0.4">
      <c r="A3" s="582">
        <v>2009</v>
      </c>
      <c r="B3" s="580">
        <v>1100.6020818186382</v>
      </c>
      <c r="C3" s="580">
        <v>20.164429202040171</v>
      </c>
      <c r="D3" s="580">
        <v>94.348780722266355</v>
      </c>
      <c r="E3" s="581">
        <v>1.9E-2</v>
      </c>
      <c r="F3" s="581" t="s">
        <v>58</v>
      </c>
      <c r="G3" s="581">
        <v>0.11799999999999999</v>
      </c>
      <c r="H3" s="581">
        <f t="shared" si="0"/>
        <v>1.8321271179789527E-2</v>
      </c>
      <c r="I3" s="581">
        <f t="shared" si="1"/>
        <v>8.5724697673081038E-2</v>
      </c>
      <c r="J3" s="581">
        <f t="shared" si="2"/>
        <v>0.10404596885287057</v>
      </c>
    </row>
    <row r="4" spans="1:10" x14ac:dyDescent="0.4">
      <c r="A4" s="582">
        <v>2010</v>
      </c>
      <c r="B4" s="580">
        <v>3110.4873506511294</v>
      </c>
      <c r="C4" s="580">
        <v>62.275912720081273</v>
      </c>
      <c r="D4" s="580">
        <v>460.69360264812411</v>
      </c>
      <c r="E4" s="581">
        <v>2.1999999999999999E-2</v>
      </c>
      <c r="F4" s="581" t="s">
        <v>59</v>
      </c>
      <c r="G4" s="581">
        <v>0.13800000000000001</v>
      </c>
      <c r="H4" s="581">
        <f t="shared" si="0"/>
        <v>2.002127181357765E-2</v>
      </c>
      <c r="I4" s="581">
        <f t="shared" si="1"/>
        <v>0.14810978175226641</v>
      </c>
      <c r="J4" s="581">
        <f t="shared" si="2"/>
        <v>0.16813105356584407</v>
      </c>
    </row>
    <row r="5" spans="1:10" x14ac:dyDescent="0.4">
      <c r="A5" s="582">
        <v>2011</v>
      </c>
      <c r="B5" s="580">
        <v>2659.3298242670398</v>
      </c>
      <c r="C5" s="580">
        <v>36.601905571448903</v>
      </c>
      <c r="D5" s="580">
        <v>195.43188678533181</v>
      </c>
      <c r="E5" s="581">
        <v>0.02</v>
      </c>
      <c r="F5" s="581" t="s">
        <v>60</v>
      </c>
      <c r="G5" s="581">
        <v>0.128</v>
      </c>
      <c r="H5" s="581">
        <f t="shared" si="0"/>
        <v>1.3763582552809921E-2</v>
      </c>
      <c r="I5" s="581">
        <f t="shared" si="1"/>
        <v>7.3489149409737636E-2</v>
      </c>
      <c r="J5" s="581">
        <f t="shared" si="2"/>
        <v>8.7252731962547556E-2</v>
      </c>
    </row>
    <row r="6" spans="1:10" x14ac:dyDescent="0.4">
      <c r="A6" s="582">
        <v>2012</v>
      </c>
      <c r="B6" s="580">
        <v>5870.9906940723013</v>
      </c>
      <c r="C6" s="580">
        <v>72.743317736208525</v>
      </c>
      <c r="D6" s="580">
        <v>544.6434271945451</v>
      </c>
      <c r="E6" s="581">
        <v>1.9E-2</v>
      </c>
      <c r="F6" s="581" t="s">
        <v>58</v>
      </c>
      <c r="G6" s="581">
        <v>0.11799999999999999</v>
      </c>
      <c r="H6" s="581">
        <f t="shared" si="0"/>
        <v>1.239029688969776E-2</v>
      </c>
      <c r="I6" s="581">
        <f t="shared" si="1"/>
        <v>9.2768572729036894E-2</v>
      </c>
      <c r="J6" s="581">
        <f t="shared" si="2"/>
        <v>0.10515886961873465</v>
      </c>
    </row>
    <row r="7" spans="1:10" x14ac:dyDescent="0.4">
      <c r="A7" s="582">
        <v>2013</v>
      </c>
      <c r="B7" s="580">
        <v>3474.938546355073</v>
      </c>
      <c r="C7" s="580">
        <v>47.368516075696711</v>
      </c>
      <c r="D7" s="580">
        <v>271.58930583358614</v>
      </c>
      <c r="E7" s="581">
        <v>1.7000000000000001E-2</v>
      </c>
      <c r="F7" s="581" t="s">
        <v>61</v>
      </c>
      <c r="G7" s="581">
        <f>1.7%+9.1%</f>
        <v>0.108</v>
      </c>
      <c r="H7" s="581">
        <f t="shared" si="0"/>
        <v>1.3631468713420103E-2</v>
      </c>
      <c r="I7" s="581">
        <f t="shared" si="1"/>
        <v>7.8156578083506303E-2</v>
      </c>
      <c r="J7" s="581">
        <f t="shared" si="2"/>
        <v>9.1788046796926412E-2</v>
      </c>
    </row>
    <row r="8" spans="1:10" x14ac:dyDescent="0.4">
      <c r="A8" s="582">
        <v>2014</v>
      </c>
      <c r="B8" s="580">
        <v>6286.6133086159361</v>
      </c>
      <c r="C8" s="580">
        <v>105.25955897653429</v>
      </c>
      <c r="D8" s="580">
        <v>679.79832052992924</v>
      </c>
      <c r="E8" s="581">
        <v>0.02</v>
      </c>
      <c r="F8" s="581" t="s">
        <v>60</v>
      </c>
      <c r="G8" s="581">
        <v>0.128</v>
      </c>
      <c r="H8" s="581">
        <f t="shared" si="0"/>
        <v>1.6743444174031483E-2</v>
      </c>
      <c r="I8" s="581">
        <f t="shared" si="1"/>
        <v>0.10813426675985484</v>
      </c>
      <c r="J8" s="581">
        <f t="shared" si="2"/>
        <v>0.12487771093388632</v>
      </c>
    </row>
    <row r="9" spans="1:10" x14ac:dyDescent="0.4">
      <c r="A9" s="582">
        <v>2015</v>
      </c>
      <c r="B9" s="580">
        <v>7245.5940257743905</v>
      </c>
      <c r="C9" s="580">
        <v>140.61274279625553</v>
      </c>
      <c r="D9" s="580">
        <v>831.1042375198308</v>
      </c>
      <c r="E9" s="581">
        <v>2.1999999999999999E-2</v>
      </c>
      <c r="F9" s="581" t="s">
        <v>59</v>
      </c>
      <c r="G9" s="581">
        <v>0.13800000000000001</v>
      </c>
      <c r="H9" s="581">
        <f t="shared" si="0"/>
        <v>1.9406654898971819E-2</v>
      </c>
      <c r="I9" s="581">
        <f t="shared" si="1"/>
        <v>0.11470477569725616</v>
      </c>
      <c r="J9" s="581">
        <f t="shared" si="2"/>
        <v>0.13411143059622799</v>
      </c>
    </row>
    <row r="10" spans="1:10" x14ac:dyDescent="0.4">
      <c r="A10" s="582">
        <v>2016</v>
      </c>
      <c r="B10" s="580">
        <v>5110.7195443074479</v>
      </c>
      <c r="C10" s="580">
        <v>85.162290162979417</v>
      </c>
      <c r="D10" s="580">
        <v>490.84839438160975</v>
      </c>
      <c r="E10" s="581">
        <v>1.9E-2</v>
      </c>
      <c r="F10" s="581" t="s">
        <v>58</v>
      </c>
      <c r="G10" s="581">
        <v>0.11799999999999999</v>
      </c>
      <c r="H10" s="581">
        <f t="shared" si="0"/>
        <v>1.6663463808699316E-2</v>
      </c>
      <c r="I10" s="581">
        <f t="shared" si="1"/>
        <v>9.6042913356170961E-2</v>
      </c>
      <c r="J10" s="581">
        <f t="shared" si="2"/>
        <v>0.11270637716487028</v>
      </c>
    </row>
    <row r="11" spans="1:10" x14ac:dyDescent="0.4">
      <c r="A11" s="582">
        <v>2017</v>
      </c>
      <c r="B11" s="580">
        <v>2527.0931066816988</v>
      </c>
      <c r="C11" s="580">
        <v>33.430252839782547</v>
      </c>
      <c r="D11" s="580">
        <v>189.25483042005575</v>
      </c>
      <c r="E11" s="581">
        <v>1.4999999999999999E-2</v>
      </c>
      <c r="F11" s="581" t="s">
        <v>62</v>
      </c>
      <c r="G11" s="581">
        <v>9.2999999999999999E-2</v>
      </c>
      <c r="H11" s="581">
        <f t="shared" si="0"/>
        <v>1.3228738090967881E-2</v>
      </c>
      <c r="I11" s="581">
        <f t="shared" si="1"/>
        <v>7.4890327514906804E-2</v>
      </c>
      <c r="J11" s="581">
        <v>8.8447505584484776E-2</v>
      </c>
    </row>
    <row r="12" spans="1:10" x14ac:dyDescent="0.4">
      <c r="A12" s="582">
        <v>2018</v>
      </c>
      <c r="B12" s="580">
        <v>1974.0875830480936</v>
      </c>
      <c r="C12" s="580">
        <v>18.452364345896836</v>
      </c>
      <c r="D12" s="580">
        <v>197.11496699847629</v>
      </c>
      <c r="E12" s="581">
        <v>1.7000000000000001E-2</v>
      </c>
      <c r="F12" s="581" t="s">
        <v>61</v>
      </c>
      <c r="G12" s="581">
        <f>0.017+0.091</f>
        <v>0.108</v>
      </c>
      <c r="H12" s="581">
        <f>C12/B12</f>
        <v>9.3472875795132804E-3</v>
      </c>
      <c r="I12" s="581">
        <f t="shared" si="1"/>
        <v>9.9851176154059265E-2</v>
      </c>
      <c r="J12" s="581">
        <f>H12+I12</f>
        <v>0.10919846373357255</v>
      </c>
    </row>
  </sheetData>
  <pageMargins left="0.7" right="0.7" top="0.75" bottom="0.75" header="0.3" footer="0.3"/>
  <pageSetup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rgb="FF00B050"/>
  </sheetPr>
  <dimension ref="A1:J12"/>
  <sheetViews>
    <sheetView workbookViewId="0">
      <selection activeCell="D18" sqref="D18"/>
    </sheetView>
  </sheetViews>
  <sheetFormatPr defaultColWidth="8.87890625" defaultRowHeight="12.9" x14ac:dyDescent="0.5"/>
  <cols>
    <col min="1" max="10" width="15.76171875" style="602" customWidth="1"/>
    <col min="11" max="16384" width="8.87890625" style="602"/>
  </cols>
  <sheetData>
    <row r="1" spans="1:10" x14ac:dyDescent="0.5">
      <c r="A1" s="602" t="s">
        <v>875</v>
      </c>
      <c r="B1" s="602" t="s">
        <v>877</v>
      </c>
      <c r="C1" s="602" t="s">
        <v>876</v>
      </c>
      <c r="D1" s="602" t="s">
        <v>878</v>
      </c>
      <c r="E1" s="602" t="s">
        <v>879</v>
      </c>
      <c r="F1" s="602" t="s">
        <v>880</v>
      </c>
      <c r="G1" s="602" t="s">
        <v>881</v>
      </c>
      <c r="H1" s="602" t="s">
        <v>882</v>
      </c>
      <c r="I1" s="602" t="s">
        <v>883</v>
      </c>
      <c r="J1" s="602" t="s">
        <v>884</v>
      </c>
    </row>
    <row r="2" spans="1:10" x14ac:dyDescent="0.5">
      <c r="A2" s="602">
        <v>2008</v>
      </c>
      <c r="B2" s="602">
        <v>0</v>
      </c>
      <c r="C2" s="602">
        <v>0</v>
      </c>
      <c r="D2" s="602">
        <v>0</v>
      </c>
      <c r="E2" s="602">
        <v>0</v>
      </c>
      <c r="F2" s="602">
        <v>0</v>
      </c>
      <c r="G2" s="602">
        <v>0</v>
      </c>
      <c r="H2" s="602">
        <v>638</v>
      </c>
      <c r="I2" s="602">
        <v>638</v>
      </c>
      <c r="J2" s="602">
        <v>0</v>
      </c>
    </row>
    <row r="3" spans="1:10" x14ac:dyDescent="0.5">
      <c r="A3" s="602">
        <v>2009</v>
      </c>
      <c r="B3" s="602">
        <v>0</v>
      </c>
      <c r="C3" s="602">
        <v>0</v>
      </c>
      <c r="D3" s="602">
        <v>0</v>
      </c>
      <c r="E3" s="602">
        <v>0</v>
      </c>
      <c r="F3" s="602">
        <v>0</v>
      </c>
      <c r="G3" s="602">
        <v>0</v>
      </c>
      <c r="H3" s="602">
        <v>605</v>
      </c>
      <c r="I3" s="602">
        <v>605</v>
      </c>
      <c r="J3" s="602">
        <v>0</v>
      </c>
    </row>
    <row r="4" spans="1:10" x14ac:dyDescent="0.5">
      <c r="A4" s="602">
        <v>2010</v>
      </c>
      <c r="B4" s="602">
        <v>0</v>
      </c>
      <c r="C4" s="602">
        <v>0</v>
      </c>
      <c r="D4" s="602">
        <v>0</v>
      </c>
      <c r="E4" s="602">
        <v>0</v>
      </c>
      <c r="F4" s="602">
        <v>1</v>
      </c>
      <c r="G4" s="602">
        <v>1</v>
      </c>
      <c r="H4" s="602">
        <v>777</v>
      </c>
      <c r="I4" s="602">
        <v>778</v>
      </c>
      <c r="J4" s="602">
        <v>1.2853470437017994E-3</v>
      </c>
    </row>
    <row r="5" spans="1:10" x14ac:dyDescent="0.5">
      <c r="A5" s="602">
        <v>2011</v>
      </c>
      <c r="B5" s="602">
        <v>0</v>
      </c>
      <c r="C5" s="602">
        <v>0</v>
      </c>
      <c r="D5" s="602">
        <v>0</v>
      </c>
      <c r="E5" s="602">
        <v>0</v>
      </c>
      <c r="F5" s="602">
        <v>0</v>
      </c>
      <c r="G5" s="602">
        <v>0</v>
      </c>
      <c r="H5" s="602">
        <v>1497</v>
      </c>
      <c r="I5" s="602">
        <v>1497</v>
      </c>
      <c r="J5" s="602">
        <v>0</v>
      </c>
    </row>
    <row r="6" spans="1:10" x14ac:dyDescent="0.5">
      <c r="A6" s="602">
        <v>2012</v>
      </c>
      <c r="B6" s="602">
        <v>0</v>
      </c>
      <c r="C6" s="602">
        <v>0</v>
      </c>
      <c r="D6" s="602">
        <v>0</v>
      </c>
      <c r="E6" s="602">
        <v>0</v>
      </c>
      <c r="F6" s="602">
        <v>21</v>
      </c>
      <c r="G6" s="602">
        <v>21</v>
      </c>
      <c r="H6" s="602">
        <v>815</v>
      </c>
      <c r="I6" s="602">
        <v>836</v>
      </c>
      <c r="J6" s="602">
        <v>2.5119617224880382E-2</v>
      </c>
    </row>
    <row r="7" spans="1:10" x14ac:dyDescent="0.5">
      <c r="A7" s="602">
        <v>2013</v>
      </c>
      <c r="B7" s="602">
        <v>0</v>
      </c>
      <c r="C7" s="602">
        <v>0</v>
      </c>
      <c r="D7" s="602">
        <v>0</v>
      </c>
      <c r="E7" s="602">
        <v>0</v>
      </c>
      <c r="F7" s="602">
        <v>10</v>
      </c>
      <c r="G7" s="602">
        <v>10</v>
      </c>
      <c r="H7" s="602">
        <v>760</v>
      </c>
      <c r="I7" s="602">
        <v>770</v>
      </c>
      <c r="J7" s="602">
        <v>1.2987012987012988E-2</v>
      </c>
    </row>
    <row r="8" spans="1:10" x14ac:dyDescent="0.5">
      <c r="A8" s="602">
        <v>2014</v>
      </c>
      <c r="B8" s="602">
        <v>0</v>
      </c>
      <c r="C8" s="602">
        <v>0</v>
      </c>
      <c r="D8" s="602">
        <v>0</v>
      </c>
      <c r="E8" s="602">
        <v>0</v>
      </c>
      <c r="F8" s="602">
        <v>0</v>
      </c>
      <c r="G8" s="602">
        <v>0</v>
      </c>
      <c r="H8" s="602">
        <v>281</v>
      </c>
      <c r="I8" s="602">
        <v>281</v>
      </c>
      <c r="J8" s="602">
        <v>0</v>
      </c>
    </row>
    <row r="9" spans="1:10" x14ac:dyDescent="0.5">
      <c r="A9" s="602">
        <v>2015</v>
      </c>
      <c r="B9" s="602">
        <v>0</v>
      </c>
      <c r="C9" s="602">
        <v>0</v>
      </c>
      <c r="D9" s="602">
        <v>0</v>
      </c>
      <c r="E9" s="602">
        <v>0</v>
      </c>
      <c r="F9" s="602">
        <v>53</v>
      </c>
      <c r="G9" s="602">
        <v>53</v>
      </c>
      <c r="H9" s="602">
        <v>577</v>
      </c>
      <c r="I9" s="602">
        <v>630</v>
      </c>
      <c r="J9" s="602">
        <v>8.4126984126984133E-2</v>
      </c>
    </row>
    <row r="10" spans="1:10" x14ac:dyDescent="0.5">
      <c r="A10" s="602">
        <v>2016</v>
      </c>
      <c r="B10" s="602">
        <v>0</v>
      </c>
      <c r="C10" s="602">
        <v>0</v>
      </c>
      <c r="D10" s="602">
        <v>0</v>
      </c>
      <c r="E10" s="602">
        <v>0</v>
      </c>
      <c r="F10" s="602">
        <v>20</v>
      </c>
      <c r="G10" s="602">
        <v>20</v>
      </c>
      <c r="H10" s="602">
        <v>1013</v>
      </c>
      <c r="I10" s="602">
        <v>1033</v>
      </c>
      <c r="J10" s="602">
        <v>1.9361084220716359E-2</v>
      </c>
    </row>
    <row r="11" spans="1:10" x14ac:dyDescent="0.5">
      <c r="A11" s="602">
        <v>2017</v>
      </c>
      <c r="B11" s="602">
        <v>0</v>
      </c>
      <c r="C11" s="602">
        <v>0</v>
      </c>
      <c r="D11" s="602">
        <v>0</v>
      </c>
      <c r="E11" s="602">
        <v>40</v>
      </c>
      <c r="F11" s="602">
        <v>20</v>
      </c>
      <c r="G11" s="602">
        <v>60</v>
      </c>
      <c r="H11" s="602">
        <v>1059</v>
      </c>
      <c r="I11" s="602">
        <v>1079</v>
      </c>
      <c r="J11" s="602">
        <v>1.8535681186283594E-2</v>
      </c>
    </row>
    <row r="12" spans="1:10" x14ac:dyDescent="0.5">
      <c r="A12" s="602">
        <v>2018</v>
      </c>
      <c r="B12" s="602">
        <v>0</v>
      </c>
      <c r="C12" s="602">
        <v>0</v>
      </c>
      <c r="D12" s="602">
        <v>0</v>
      </c>
      <c r="E12" s="602">
        <v>0</v>
      </c>
      <c r="F12" s="602">
        <v>0</v>
      </c>
      <c r="G12" s="602">
        <v>0</v>
      </c>
      <c r="J12" s="60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rgb="FF00B050"/>
  </sheetPr>
  <dimension ref="A1:G12"/>
  <sheetViews>
    <sheetView workbookViewId="0"/>
  </sheetViews>
  <sheetFormatPr defaultColWidth="8.87890625" defaultRowHeight="12.9" x14ac:dyDescent="0.5"/>
  <cols>
    <col min="1" max="16384" width="8.87890625" style="602"/>
  </cols>
  <sheetData>
    <row r="1" spans="1:7" x14ac:dyDescent="0.5">
      <c r="A1" s="602" t="s">
        <v>82</v>
      </c>
      <c r="B1" s="602" t="s">
        <v>885</v>
      </c>
      <c r="C1" s="602" t="s">
        <v>886</v>
      </c>
      <c r="D1" s="602" t="s">
        <v>887</v>
      </c>
      <c r="E1" s="602" t="s">
        <v>888</v>
      </c>
      <c r="F1" s="602" t="s">
        <v>889</v>
      </c>
      <c r="G1" s="602" t="s">
        <v>890</v>
      </c>
    </row>
    <row r="2" spans="1:7" x14ac:dyDescent="0.5">
      <c r="A2" s="602">
        <v>2008</v>
      </c>
      <c r="B2" s="602">
        <v>0</v>
      </c>
      <c r="C2" s="602">
        <v>0</v>
      </c>
      <c r="D2" s="602">
        <v>1</v>
      </c>
      <c r="E2" s="602">
        <v>0</v>
      </c>
      <c r="F2" s="602">
        <v>0</v>
      </c>
      <c r="G2" s="602">
        <v>225</v>
      </c>
    </row>
    <row r="3" spans="1:7" x14ac:dyDescent="0.5">
      <c r="A3" s="602">
        <v>2009</v>
      </c>
      <c r="B3" s="602">
        <v>0</v>
      </c>
      <c r="C3" s="602">
        <v>0</v>
      </c>
      <c r="D3" s="602">
        <v>2</v>
      </c>
      <c r="E3" s="602">
        <v>0</v>
      </c>
      <c r="F3" s="602">
        <v>0</v>
      </c>
      <c r="G3" s="602">
        <v>446</v>
      </c>
    </row>
    <row r="4" spans="1:7" x14ac:dyDescent="0.5">
      <c r="A4" s="602">
        <v>2010</v>
      </c>
      <c r="B4" s="602">
        <v>0</v>
      </c>
      <c r="C4" s="602">
        <v>0</v>
      </c>
      <c r="D4" s="602">
        <v>8</v>
      </c>
      <c r="E4" s="602">
        <v>0</v>
      </c>
      <c r="F4" s="602">
        <v>0</v>
      </c>
      <c r="G4" s="602">
        <v>3</v>
      </c>
    </row>
    <row r="5" spans="1:7" x14ac:dyDescent="0.5">
      <c r="A5" s="602">
        <v>2011</v>
      </c>
      <c r="B5" s="602">
        <v>0</v>
      </c>
      <c r="C5" s="602">
        <v>0</v>
      </c>
      <c r="D5" s="602">
        <v>4</v>
      </c>
      <c r="E5" s="602">
        <v>0</v>
      </c>
      <c r="F5" s="602">
        <v>0</v>
      </c>
      <c r="G5" s="602">
        <v>93</v>
      </c>
    </row>
    <row r="6" spans="1:7" x14ac:dyDescent="0.5">
      <c r="A6" s="602">
        <v>2012</v>
      </c>
      <c r="B6" s="602">
        <v>0</v>
      </c>
      <c r="C6" s="602">
        <v>0</v>
      </c>
      <c r="D6" s="602">
        <v>3</v>
      </c>
      <c r="E6" s="602">
        <v>0</v>
      </c>
      <c r="F6" s="602">
        <v>0</v>
      </c>
      <c r="G6" s="602">
        <v>119</v>
      </c>
    </row>
    <row r="7" spans="1:7" x14ac:dyDescent="0.5">
      <c r="A7" s="602">
        <v>2013</v>
      </c>
      <c r="B7" s="602">
        <v>0</v>
      </c>
      <c r="C7" s="602">
        <v>0</v>
      </c>
      <c r="D7" s="602">
        <v>0</v>
      </c>
      <c r="E7" s="602">
        <v>0</v>
      </c>
      <c r="F7" s="602">
        <v>0</v>
      </c>
      <c r="G7" s="602">
        <v>0</v>
      </c>
    </row>
    <row r="8" spans="1:7" x14ac:dyDescent="0.5">
      <c r="A8" s="602">
        <v>2014</v>
      </c>
      <c r="B8" s="602">
        <v>0</v>
      </c>
      <c r="C8" s="602">
        <v>0</v>
      </c>
      <c r="D8" s="602">
        <v>5</v>
      </c>
      <c r="E8" s="602">
        <v>0</v>
      </c>
      <c r="F8" s="602">
        <v>0</v>
      </c>
      <c r="G8" s="602">
        <v>396</v>
      </c>
    </row>
    <row r="9" spans="1:7" x14ac:dyDescent="0.5">
      <c r="A9" s="602">
        <v>2015</v>
      </c>
      <c r="B9" s="602">
        <v>0</v>
      </c>
      <c r="C9" s="602">
        <v>0</v>
      </c>
      <c r="D9" s="602">
        <v>4</v>
      </c>
      <c r="E9" s="602">
        <v>0</v>
      </c>
      <c r="F9" s="602">
        <v>0</v>
      </c>
      <c r="G9" s="602">
        <v>152</v>
      </c>
    </row>
    <row r="10" spans="1:7" x14ac:dyDescent="0.5">
      <c r="A10" s="602">
        <v>2016</v>
      </c>
      <c r="B10" s="602">
        <v>0</v>
      </c>
      <c r="C10" s="602">
        <v>0</v>
      </c>
      <c r="D10" s="602">
        <v>8</v>
      </c>
      <c r="E10" s="602">
        <v>0</v>
      </c>
      <c r="F10" s="602">
        <v>0</v>
      </c>
      <c r="G10" s="602">
        <v>0</v>
      </c>
    </row>
    <row r="11" spans="1:7" x14ac:dyDescent="0.5">
      <c r="A11" s="602">
        <v>2017</v>
      </c>
      <c r="B11" s="602">
        <v>0</v>
      </c>
      <c r="C11" s="602">
        <v>0</v>
      </c>
      <c r="D11" s="602">
        <v>2</v>
      </c>
      <c r="E11" s="602">
        <v>0</v>
      </c>
      <c r="F11" s="602">
        <v>0</v>
      </c>
      <c r="G11" s="602">
        <v>0</v>
      </c>
    </row>
    <row r="12" spans="1:7" x14ac:dyDescent="0.5">
      <c r="A12" s="602">
        <v>2018</v>
      </c>
      <c r="B12" s="602">
        <v>0</v>
      </c>
      <c r="C12" s="602">
        <v>0</v>
      </c>
      <c r="D12" s="602">
        <v>1</v>
      </c>
      <c r="E12" s="602">
        <v>0</v>
      </c>
      <c r="F12" s="602">
        <v>0</v>
      </c>
      <c r="G12" s="60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rgb="FF00B050"/>
  </sheetPr>
  <dimension ref="A1:K19"/>
  <sheetViews>
    <sheetView workbookViewId="0">
      <selection activeCell="E36" sqref="E36"/>
    </sheetView>
  </sheetViews>
  <sheetFormatPr defaultColWidth="8.87890625" defaultRowHeight="12.9" x14ac:dyDescent="0.5"/>
  <cols>
    <col min="1" max="11" width="10.76171875" style="602" customWidth="1"/>
    <col min="12" max="16384" width="8.87890625" style="602"/>
  </cols>
  <sheetData>
    <row r="1" spans="1:11" x14ac:dyDescent="0.5">
      <c r="A1" s="602" t="s">
        <v>82</v>
      </c>
      <c r="B1" s="602" t="s">
        <v>891</v>
      </c>
      <c r="C1" s="602" t="s">
        <v>892</v>
      </c>
      <c r="D1" s="602" t="s">
        <v>893</v>
      </c>
      <c r="E1" s="602" t="s">
        <v>894</v>
      </c>
      <c r="F1" s="602" t="s">
        <v>895</v>
      </c>
      <c r="G1" s="602" t="s">
        <v>896</v>
      </c>
      <c r="H1" s="602" t="s">
        <v>897</v>
      </c>
      <c r="I1" s="602" t="s">
        <v>898</v>
      </c>
      <c r="J1" s="602" t="s">
        <v>899</v>
      </c>
      <c r="K1" s="602" t="s">
        <v>900</v>
      </c>
    </row>
    <row r="2" spans="1:11" x14ac:dyDescent="0.5">
      <c r="A2" s="602">
        <v>2001</v>
      </c>
      <c r="B2" s="602">
        <v>560</v>
      </c>
      <c r="C2" s="602">
        <v>42</v>
      </c>
      <c r="D2" s="602">
        <v>602</v>
      </c>
      <c r="E2" s="602">
        <v>7.0000000000000007E-2</v>
      </c>
      <c r="F2" s="602">
        <v>130</v>
      </c>
      <c r="G2" s="602">
        <v>0.23200000000000001</v>
      </c>
      <c r="H2" s="602">
        <v>10</v>
      </c>
      <c r="I2" s="602">
        <v>1</v>
      </c>
      <c r="J2" s="602">
        <v>2.3E-2</v>
      </c>
      <c r="K2" s="602">
        <v>131</v>
      </c>
    </row>
    <row r="3" spans="1:11" x14ac:dyDescent="0.5">
      <c r="A3" s="602">
        <v>2002</v>
      </c>
      <c r="B3" s="602">
        <v>101</v>
      </c>
      <c r="C3" s="602">
        <v>69</v>
      </c>
      <c r="D3" s="602">
        <v>170</v>
      </c>
      <c r="E3" s="602">
        <v>0.40600000000000003</v>
      </c>
      <c r="I3" s="602">
        <v>0</v>
      </c>
      <c r="K3" s="602">
        <v>112</v>
      </c>
    </row>
    <row r="4" spans="1:11" x14ac:dyDescent="0.5">
      <c r="A4" s="602">
        <v>2003</v>
      </c>
      <c r="B4" s="602">
        <v>338</v>
      </c>
      <c r="C4" s="602">
        <v>62</v>
      </c>
      <c r="D4" s="602">
        <v>400</v>
      </c>
      <c r="E4" s="602">
        <v>0.155</v>
      </c>
      <c r="F4" s="602">
        <v>0</v>
      </c>
      <c r="G4" s="602">
        <v>0</v>
      </c>
      <c r="H4" s="602">
        <v>0</v>
      </c>
      <c r="I4" s="602">
        <v>0</v>
      </c>
      <c r="J4" s="602">
        <v>0</v>
      </c>
      <c r="K4" s="602">
        <v>0</v>
      </c>
    </row>
    <row r="5" spans="1:11" x14ac:dyDescent="0.5">
      <c r="A5" s="602">
        <v>2004</v>
      </c>
      <c r="B5" s="602">
        <v>98</v>
      </c>
      <c r="C5" s="602">
        <v>144</v>
      </c>
      <c r="D5" s="602">
        <v>242</v>
      </c>
      <c r="E5" s="602">
        <v>0.59499999999999997</v>
      </c>
      <c r="F5" s="602">
        <v>0</v>
      </c>
      <c r="G5" s="602">
        <v>0</v>
      </c>
      <c r="H5" s="602">
        <v>0</v>
      </c>
      <c r="I5" s="602">
        <v>0</v>
      </c>
      <c r="J5" s="602">
        <v>0</v>
      </c>
      <c r="K5" s="602">
        <v>0</v>
      </c>
    </row>
    <row r="6" spans="1:11" x14ac:dyDescent="0.5">
      <c r="A6" s="602">
        <v>2005</v>
      </c>
      <c r="B6" s="602">
        <v>589</v>
      </c>
      <c r="C6" s="602">
        <v>107</v>
      </c>
      <c r="D6" s="602">
        <v>696</v>
      </c>
      <c r="E6" s="602">
        <v>0.154</v>
      </c>
      <c r="F6" s="602">
        <v>36</v>
      </c>
      <c r="G6" s="602">
        <v>6.0999999999999999E-2</v>
      </c>
      <c r="H6" s="602">
        <v>7</v>
      </c>
      <c r="I6" s="602">
        <v>1</v>
      </c>
      <c r="J6" s="602">
        <v>6.0000000000000001E-3</v>
      </c>
      <c r="K6" s="602">
        <v>37</v>
      </c>
    </row>
    <row r="7" spans="1:11" x14ac:dyDescent="0.5">
      <c r="A7" s="602">
        <v>2006</v>
      </c>
      <c r="B7" s="602">
        <v>939</v>
      </c>
      <c r="C7" s="602">
        <v>297</v>
      </c>
      <c r="D7" s="602">
        <v>1236</v>
      </c>
      <c r="E7" s="602">
        <v>0.24</v>
      </c>
      <c r="F7" s="602">
        <v>0</v>
      </c>
      <c r="G7" s="602">
        <v>0</v>
      </c>
      <c r="H7" s="602">
        <v>0</v>
      </c>
      <c r="I7" s="602">
        <v>0</v>
      </c>
      <c r="J7" s="602">
        <v>0</v>
      </c>
      <c r="K7" s="602">
        <v>0</v>
      </c>
    </row>
    <row r="8" spans="1:11" x14ac:dyDescent="0.5">
      <c r="A8" s="602">
        <v>2007</v>
      </c>
      <c r="B8" s="602">
        <v>327</v>
      </c>
      <c r="C8" s="602">
        <v>133</v>
      </c>
      <c r="D8" s="602">
        <v>460</v>
      </c>
      <c r="E8" s="602">
        <v>0.28899999999999998</v>
      </c>
      <c r="F8" s="602">
        <v>52</v>
      </c>
      <c r="G8" s="602">
        <v>0.159</v>
      </c>
      <c r="H8" s="602">
        <v>21</v>
      </c>
      <c r="I8" s="602">
        <v>2</v>
      </c>
      <c r="J8" s="602">
        <v>1.6E-2</v>
      </c>
      <c r="K8" s="602">
        <v>54</v>
      </c>
    </row>
    <row r="9" spans="1:11" x14ac:dyDescent="0.5">
      <c r="A9" s="602">
        <v>2008</v>
      </c>
      <c r="B9" s="602">
        <v>936</v>
      </c>
      <c r="C9" s="602">
        <v>61</v>
      </c>
      <c r="D9" s="602">
        <v>997</v>
      </c>
      <c r="E9" s="602">
        <v>6.0999999999999999E-2</v>
      </c>
      <c r="F9" s="602">
        <v>120</v>
      </c>
      <c r="G9" s="602">
        <v>0.128</v>
      </c>
      <c r="H9" s="602">
        <v>8</v>
      </c>
      <c r="I9" s="602">
        <v>1</v>
      </c>
      <c r="J9" s="602">
        <v>1.2999999999999999E-2</v>
      </c>
      <c r="K9" s="602">
        <v>121</v>
      </c>
    </row>
    <row r="10" spans="1:11" x14ac:dyDescent="0.5">
      <c r="A10" s="602">
        <v>2009</v>
      </c>
      <c r="B10" s="602">
        <v>1248</v>
      </c>
      <c r="C10" s="602">
        <v>66</v>
      </c>
      <c r="D10" s="602">
        <v>1314</v>
      </c>
      <c r="E10" s="602">
        <v>0.05</v>
      </c>
      <c r="F10" s="602">
        <v>143</v>
      </c>
      <c r="G10" s="602">
        <v>0.115</v>
      </c>
      <c r="H10" s="602">
        <v>8</v>
      </c>
      <c r="I10" s="602">
        <v>1</v>
      </c>
      <c r="J10" s="602">
        <v>1.0999999999999999E-2</v>
      </c>
      <c r="K10" s="602">
        <v>144</v>
      </c>
    </row>
    <row r="11" spans="1:11" x14ac:dyDescent="0.5">
      <c r="A11" s="602">
        <v>2010</v>
      </c>
      <c r="B11" s="602">
        <v>507</v>
      </c>
      <c r="C11" s="602">
        <v>128</v>
      </c>
      <c r="D11" s="602">
        <v>635</v>
      </c>
      <c r="E11" s="602">
        <v>0.20200000000000001</v>
      </c>
      <c r="F11" s="602">
        <v>71</v>
      </c>
      <c r="G11" s="602">
        <v>0.14000000000000001</v>
      </c>
      <c r="H11" s="602">
        <v>18</v>
      </c>
      <c r="I11" s="602">
        <v>2</v>
      </c>
      <c r="J11" s="602">
        <v>1.4E-2</v>
      </c>
      <c r="K11" s="602">
        <v>73</v>
      </c>
    </row>
    <row r="12" spans="1:11" x14ac:dyDescent="0.5">
      <c r="A12" s="602">
        <v>2011</v>
      </c>
      <c r="B12" s="602">
        <v>1377</v>
      </c>
      <c r="D12" s="602">
        <v>1377</v>
      </c>
      <c r="E12" s="602">
        <v>0</v>
      </c>
      <c r="F12" s="602">
        <v>270</v>
      </c>
      <c r="G12" s="602">
        <v>0.19600000000000001</v>
      </c>
      <c r="K12" s="602">
        <v>270</v>
      </c>
    </row>
    <row r="13" spans="1:11" x14ac:dyDescent="0.5">
      <c r="A13" s="602">
        <v>2012</v>
      </c>
      <c r="B13" s="602">
        <v>1114</v>
      </c>
      <c r="D13" s="602">
        <v>1114</v>
      </c>
      <c r="E13" s="602">
        <v>0</v>
      </c>
      <c r="F13" s="602">
        <v>61</v>
      </c>
      <c r="G13" s="602">
        <v>5.5E-2</v>
      </c>
      <c r="K13" s="602">
        <v>61</v>
      </c>
    </row>
    <row r="14" spans="1:11" x14ac:dyDescent="0.5">
      <c r="A14" s="602">
        <v>2013</v>
      </c>
      <c r="B14" s="602">
        <v>820</v>
      </c>
      <c r="C14" s="602">
        <v>40</v>
      </c>
      <c r="D14" s="602">
        <v>860</v>
      </c>
      <c r="E14" s="602">
        <v>4.7E-2</v>
      </c>
      <c r="F14" s="602">
        <v>138</v>
      </c>
      <c r="G14" s="602">
        <v>0.16800000000000001</v>
      </c>
      <c r="H14" s="602">
        <v>7</v>
      </c>
      <c r="I14" s="602">
        <v>1</v>
      </c>
      <c r="J14" s="602">
        <v>2.5000000000000001E-2</v>
      </c>
      <c r="K14" s="602">
        <v>139</v>
      </c>
    </row>
    <row r="15" spans="1:11" x14ac:dyDescent="0.5">
      <c r="A15" s="602">
        <v>2014</v>
      </c>
      <c r="B15" s="602">
        <v>1086</v>
      </c>
      <c r="C15" s="602">
        <v>25</v>
      </c>
      <c r="D15" s="602">
        <v>1111</v>
      </c>
      <c r="E15" s="602">
        <v>2.3E-2</v>
      </c>
      <c r="F15" s="602">
        <v>389</v>
      </c>
      <c r="G15" s="602">
        <v>0.35799999999999998</v>
      </c>
      <c r="H15" s="602">
        <v>9</v>
      </c>
      <c r="I15" s="602">
        <v>1</v>
      </c>
      <c r="J15" s="602">
        <v>0.04</v>
      </c>
      <c r="K15" s="602">
        <v>390</v>
      </c>
    </row>
    <row r="16" spans="1:11" x14ac:dyDescent="0.5">
      <c r="A16" s="602">
        <v>2015</v>
      </c>
      <c r="B16" s="602">
        <v>2223</v>
      </c>
      <c r="C16" s="602">
        <v>108</v>
      </c>
      <c r="D16" s="602">
        <v>2331</v>
      </c>
      <c r="E16" s="602">
        <v>4.5999999999999999E-2</v>
      </c>
      <c r="F16" s="602">
        <v>205</v>
      </c>
      <c r="G16" s="602">
        <v>9.1999999999999998E-2</v>
      </c>
      <c r="I16" s="602">
        <v>4</v>
      </c>
      <c r="J16" s="602">
        <v>3.7037037037037035E-2</v>
      </c>
      <c r="K16" s="602">
        <v>209</v>
      </c>
    </row>
    <row r="17" spans="1:11" x14ac:dyDescent="0.5">
      <c r="A17" s="602">
        <v>2016</v>
      </c>
      <c r="B17" s="602">
        <v>1846</v>
      </c>
      <c r="C17" s="602">
        <v>150</v>
      </c>
      <c r="D17" s="602">
        <v>1996</v>
      </c>
      <c r="E17" s="602">
        <v>7.4999999999999997E-2</v>
      </c>
      <c r="F17" s="602">
        <v>211</v>
      </c>
      <c r="G17" s="602">
        <v>0.114</v>
      </c>
      <c r="I17" s="602">
        <v>1</v>
      </c>
      <c r="J17" s="602">
        <v>6.6666666666666671E-3</v>
      </c>
      <c r="K17" s="602">
        <v>212</v>
      </c>
    </row>
    <row r="18" spans="1:11" x14ac:dyDescent="0.5">
      <c r="A18" s="602">
        <v>2017</v>
      </c>
      <c r="B18" s="602">
        <v>2064</v>
      </c>
      <c r="D18" s="602">
        <v>2064</v>
      </c>
      <c r="F18" s="602">
        <v>660</v>
      </c>
      <c r="G18" s="602">
        <v>0.31976744186046513</v>
      </c>
      <c r="H18" s="602">
        <v>7</v>
      </c>
      <c r="I18" s="602">
        <v>0.70000000000000007</v>
      </c>
      <c r="K18" s="602">
        <v>660.7</v>
      </c>
    </row>
    <row r="19" spans="1:11" x14ac:dyDescent="0.5">
      <c r="A19" s="602">
        <v>2018</v>
      </c>
      <c r="B19" s="602">
        <v>1061</v>
      </c>
      <c r="D19" s="602">
        <v>1601</v>
      </c>
      <c r="F19" s="602">
        <v>203</v>
      </c>
      <c r="G19" s="602">
        <v>0.19132893496701225</v>
      </c>
      <c r="H19" s="60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rgb="FF00B050"/>
  </sheetPr>
  <dimension ref="A1:D13"/>
  <sheetViews>
    <sheetView workbookViewId="0">
      <selection activeCell="F9" sqref="F9"/>
    </sheetView>
  </sheetViews>
  <sheetFormatPr defaultColWidth="8.87890625" defaultRowHeight="12.9" x14ac:dyDescent="0.5"/>
  <cols>
    <col min="1" max="4" width="10.76171875" style="647" customWidth="1"/>
    <col min="5" max="16384" width="8.87890625" style="494"/>
  </cols>
  <sheetData>
    <row r="1" spans="1:4" x14ac:dyDescent="0.5">
      <c r="A1" s="616" t="s">
        <v>875</v>
      </c>
      <c r="B1" s="616" t="s">
        <v>901</v>
      </c>
      <c r="C1" s="616" t="s">
        <v>768</v>
      </c>
      <c r="D1" s="616" t="s">
        <v>902</v>
      </c>
    </row>
    <row r="2" spans="1:4" x14ac:dyDescent="0.5">
      <c r="A2" s="616">
        <v>2008</v>
      </c>
      <c r="B2" s="645">
        <v>1000</v>
      </c>
      <c r="C2" s="645">
        <v>13</v>
      </c>
      <c r="D2" s="618">
        <v>1.2999999999999999E-2</v>
      </c>
    </row>
    <row r="3" spans="1:4" x14ac:dyDescent="0.5">
      <c r="A3" s="616">
        <v>2009</v>
      </c>
      <c r="B3" s="645">
        <v>1137</v>
      </c>
      <c r="C3" s="645">
        <v>107</v>
      </c>
      <c r="D3" s="618">
        <v>9.4107299912049247E-2</v>
      </c>
    </row>
    <row r="4" spans="1:4" ht="15" customHeight="1" x14ac:dyDescent="0.5">
      <c r="A4" s="616">
        <v>2010</v>
      </c>
      <c r="B4" s="645">
        <v>979</v>
      </c>
      <c r="C4" s="645">
        <v>55</v>
      </c>
      <c r="D4" s="618">
        <v>5.6179775280898875E-2</v>
      </c>
    </row>
    <row r="5" spans="1:4" x14ac:dyDescent="0.5">
      <c r="A5" s="616">
        <v>2011</v>
      </c>
      <c r="B5" s="645">
        <v>2399</v>
      </c>
      <c r="C5" s="645">
        <v>35</v>
      </c>
      <c r="D5" s="618">
        <v>1.4589412255106295E-2</v>
      </c>
    </row>
    <row r="6" spans="1:4" x14ac:dyDescent="0.5">
      <c r="A6" s="616">
        <v>2012</v>
      </c>
      <c r="B6" s="645">
        <v>999</v>
      </c>
      <c r="C6" s="645">
        <v>44</v>
      </c>
      <c r="D6" s="618">
        <v>4.4044044044044044E-2</v>
      </c>
    </row>
    <row r="7" spans="1:4" x14ac:dyDescent="0.5">
      <c r="A7" s="616">
        <v>2013</v>
      </c>
      <c r="B7" s="645">
        <v>1146</v>
      </c>
      <c r="C7" s="645">
        <v>20</v>
      </c>
      <c r="D7" s="618">
        <v>1.7452006980802792E-2</v>
      </c>
    </row>
    <row r="8" spans="1:4" x14ac:dyDescent="0.5">
      <c r="A8" s="616">
        <v>2014</v>
      </c>
      <c r="B8" s="645">
        <v>2815</v>
      </c>
      <c r="C8" s="645">
        <v>95</v>
      </c>
      <c r="D8" s="618">
        <v>3.3747779751332148E-2</v>
      </c>
    </row>
    <row r="9" spans="1:4" x14ac:dyDescent="0.5">
      <c r="A9" s="616">
        <v>2015</v>
      </c>
      <c r="B9" s="645">
        <v>3202</v>
      </c>
      <c r="C9" s="645">
        <v>45</v>
      </c>
      <c r="D9" s="618">
        <v>1.4053716427232979E-2</v>
      </c>
    </row>
    <row r="10" spans="1:4" x14ac:dyDescent="0.5">
      <c r="A10" s="616">
        <v>2016</v>
      </c>
      <c r="B10" s="645">
        <v>512</v>
      </c>
      <c r="C10" s="585">
        <v>60</v>
      </c>
      <c r="D10" s="618">
        <v>0.1171875</v>
      </c>
    </row>
    <row r="11" spans="1:4" x14ac:dyDescent="0.5">
      <c r="A11" s="616">
        <v>2017</v>
      </c>
      <c r="B11" s="645">
        <v>1725</v>
      </c>
      <c r="C11" s="585">
        <v>20</v>
      </c>
      <c r="D11" s="618">
        <v>1.1594202898550725E-2</v>
      </c>
    </row>
    <row r="12" spans="1:4" x14ac:dyDescent="0.5">
      <c r="A12" s="616">
        <v>2018</v>
      </c>
      <c r="B12" s="645">
        <v>973</v>
      </c>
      <c r="C12" s="651">
        <v>30</v>
      </c>
      <c r="D12" s="618">
        <v>3.0832476875642344E-2</v>
      </c>
    </row>
    <row r="13" spans="1:4" x14ac:dyDescent="0.5">
      <c r="A13" s="616"/>
      <c r="B13" s="633"/>
      <c r="C13" s="391"/>
      <c r="D13" s="65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rgb="FF00B050"/>
  </sheetPr>
  <dimension ref="A1:I22"/>
  <sheetViews>
    <sheetView workbookViewId="0">
      <selection sqref="A1:I22"/>
    </sheetView>
  </sheetViews>
  <sheetFormatPr defaultRowHeight="12.9" x14ac:dyDescent="0.5"/>
  <cols>
    <col min="1" max="9" width="10.76171875" style="602" customWidth="1"/>
  </cols>
  <sheetData>
    <row r="1" spans="1:9" x14ac:dyDescent="0.5">
      <c r="A1" s="602" t="s">
        <v>780</v>
      </c>
      <c r="B1" s="602" t="s">
        <v>906</v>
      </c>
      <c r="C1" s="602" t="s">
        <v>907</v>
      </c>
      <c r="D1" s="602" t="s">
        <v>908</v>
      </c>
      <c r="E1" s="602" t="s">
        <v>909</v>
      </c>
      <c r="F1" s="602" t="s">
        <v>910</v>
      </c>
      <c r="G1" s="602" t="s">
        <v>911</v>
      </c>
      <c r="H1" s="602" t="s">
        <v>912</v>
      </c>
      <c r="I1" s="602" t="s">
        <v>913</v>
      </c>
    </row>
    <row r="2" spans="1:9" x14ac:dyDescent="0.5">
      <c r="A2" s="602" t="s">
        <v>903</v>
      </c>
      <c r="B2" s="602">
        <v>3800</v>
      </c>
      <c r="C2" s="602">
        <v>15120</v>
      </c>
      <c r="D2" s="602">
        <v>18920</v>
      </c>
      <c r="E2" s="602">
        <v>1998</v>
      </c>
      <c r="F2" s="602">
        <v>135</v>
      </c>
      <c r="G2" s="602">
        <v>3.5499999999999997E-2</v>
      </c>
      <c r="H2" s="602">
        <v>760</v>
      </c>
      <c r="I2" s="602">
        <v>895</v>
      </c>
    </row>
    <row r="3" spans="1:9" x14ac:dyDescent="0.5">
      <c r="A3" s="602" t="s">
        <v>904</v>
      </c>
      <c r="B3" s="602">
        <v>4790</v>
      </c>
      <c r="C3" s="602">
        <v>16413</v>
      </c>
      <c r="D3" s="602">
        <v>21203</v>
      </c>
      <c r="E3" s="602">
        <v>1999</v>
      </c>
      <c r="F3" s="602">
        <v>277</v>
      </c>
      <c r="G3" s="602">
        <v>5.7799999999999997E-2</v>
      </c>
      <c r="H3" s="602">
        <v>401</v>
      </c>
      <c r="I3" s="602">
        <v>678</v>
      </c>
    </row>
    <row r="4" spans="1:9" x14ac:dyDescent="0.5">
      <c r="A4" s="602" t="s">
        <v>905</v>
      </c>
      <c r="B4" s="602">
        <v>8985</v>
      </c>
      <c r="C4" s="602">
        <v>16413</v>
      </c>
      <c r="D4" s="602">
        <v>25398</v>
      </c>
      <c r="E4" s="602">
        <v>2000</v>
      </c>
      <c r="F4" s="602">
        <v>60</v>
      </c>
      <c r="G4" s="602">
        <v>6.6777963272120202E-3</v>
      </c>
      <c r="H4" s="602">
        <v>154</v>
      </c>
      <c r="I4" s="602">
        <v>214</v>
      </c>
    </row>
    <row r="5" spans="1:9" x14ac:dyDescent="0.5">
      <c r="A5" s="602" t="s">
        <v>804</v>
      </c>
      <c r="B5" s="602">
        <v>8749</v>
      </c>
      <c r="C5" s="602">
        <v>16413</v>
      </c>
      <c r="D5" s="602">
        <v>25162</v>
      </c>
      <c r="E5" s="602">
        <v>2001</v>
      </c>
      <c r="F5" s="602">
        <v>99</v>
      </c>
      <c r="G5" s="602">
        <v>1.1299999999999999E-2</v>
      </c>
      <c r="H5" s="602">
        <v>301</v>
      </c>
      <c r="I5" s="602">
        <v>400</v>
      </c>
    </row>
    <row r="6" spans="1:9" x14ac:dyDescent="0.5">
      <c r="A6" s="602" t="s">
        <v>805</v>
      </c>
      <c r="B6" s="602">
        <v>9363</v>
      </c>
      <c r="C6" s="602">
        <v>16413</v>
      </c>
      <c r="D6" s="602">
        <v>25776</v>
      </c>
      <c r="E6" s="602">
        <v>2002</v>
      </c>
      <c r="F6" s="602">
        <v>80</v>
      </c>
      <c r="G6" s="602">
        <v>8.5000000000000006E-3</v>
      </c>
      <c r="H6" s="602">
        <v>535</v>
      </c>
      <c r="I6" s="602">
        <v>615</v>
      </c>
    </row>
    <row r="7" spans="1:9" x14ac:dyDescent="0.5">
      <c r="A7" s="602" t="s">
        <v>806</v>
      </c>
      <c r="B7" s="602">
        <v>5524</v>
      </c>
      <c r="C7" s="602">
        <v>16413</v>
      </c>
      <c r="D7" s="602">
        <v>21937</v>
      </c>
      <c r="E7" s="602">
        <v>2003</v>
      </c>
      <c r="F7" s="602">
        <v>62</v>
      </c>
      <c r="G7" s="602">
        <v>1.12E-2</v>
      </c>
      <c r="H7" s="602">
        <v>111</v>
      </c>
      <c r="I7" s="602">
        <v>173</v>
      </c>
    </row>
    <row r="8" spans="1:9" x14ac:dyDescent="0.5">
      <c r="A8" s="602" t="s">
        <v>807</v>
      </c>
      <c r="B8" s="602">
        <v>3161</v>
      </c>
      <c r="C8" s="602">
        <v>16413</v>
      </c>
      <c r="D8" s="602">
        <v>19574</v>
      </c>
      <c r="E8" s="602">
        <v>2004</v>
      </c>
      <c r="F8" s="602">
        <v>30</v>
      </c>
      <c r="G8" s="602">
        <v>9.4999999999999998E-3</v>
      </c>
      <c r="H8" s="602">
        <v>195</v>
      </c>
      <c r="I8" s="602">
        <v>225</v>
      </c>
    </row>
    <row r="9" spans="1:9" x14ac:dyDescent="0.5">
      <c r="A9" s="602" t="s">
        <v>808</v>
      </c>
      <c r="B9" s="602">
        <v>3432</v>
      </c>
      <c r="C9" s="602">
        <v>16413</v>
      </c>
      <c r="D9" s="602">
        <v>19845</v>
      </c>
      <c r="E9" s="602">
        <v>2005</v>
      </c>
      <c r="F9" s="602">
        <v>53</v>
      </c>
      <c r="G9" s="602">
        <v>1.54E-2</v>
      </c>
      <c r="H9" s="602">
        <v>350</v>
      </c>
      <c r="I9" s="602">
        <v>403</v>
      </c>
    </row>
    <row r="10" spans="1:9" x14ac:dyDescent="0.5">
      <c r="A10" s="602" t="s">
        <v>809</v>
      </c>
      <c r="B10" s="602">
        <v>3986</v>
      </c>
      <c r="C10" s="602">
        <v>16413</v>
      </c>
      <c r="D10" s="602">
        <v>20399</v>
      </c>
      <c r="E10" s="602">
        <v>2006</v>
      </c>
    </row>
    <row r="11" spans="1:9" x14ac:dyDescent="0.5">
      <c r="A11" s="602" t="s">
        <v>308</v>
      </c>
      <c r="B11" s="602">
        <v>3482</v>
      </c>
      <c r="C11" s="602">
        <v>16413</v>
      </c>
      <c r="D11" s="602">
        <v>19895</v>
      </c>
      <c r="E11" s="602">
        <v>2007</v>
      </c>
    </row>
    <row r="12" spans="1:9" x14ac:dyDescent="0.5">
      <c r="A12" s="602" t="s">
        <v>309</v>
      </c>
      <c r="B12" s="602">
        <v>4048</v>
      </c>
      <c r="C12" s="602">
        <v>16413</v>
      </c>
      <c r="D12" s="602">
        <v>20461</v>
      </c>
      <c r="E12" s="602">
        <v>2008</v>
      </c>
    </row>
    <row r="13" spans="1:9" x14ac:dyDescent="0.5">
      <c r="A13" s="602" t="s">
        <v>310</v>
      </c>
      <c r="B13" s="602">
        <v>4236</v>
      </c>
      <c r="C13" s="602">
        <v>16413</v>
      </c>
      <c r="D13" s="602">
        <v>20649</v>
      </c>
      <c r="E13" s="602">
        <v>2009</v>
      </c>
      <c r="F13" s="602">
        <v>67</v>
      </c>
      <c r="G13" s="602">
        <v>1.5800000000000002E-2</v>
      </c>
      <c r="H13" s="602">
        <v>962</v>
      </c>
      <c r="I13" s="602">
        <v>1029</v>
      </c>
    </row>
    <row r="14" spans="1:9" x14ac:dyDescent="0.5">
      <c r="A14" s="602" t="s">
        <v>311</v>
      </c>
      <c r="B14" s="602">
        <v>7257</v>
      </c>
      <c r="C14" s="602">
        <v>16413</v>
      </c>
      <c r="D14" s="602">
        <v>23670</v>
      </c>
      <c r="E14" s="602">
        <v>2010</v>
      </c>
      <c r="F14" s="602">
        <v>16</v>
      </c>
      <c r="G14" s="602">
        <v>2.2000000000000001E-3</v>
      </c>
      <c r="H14" s="602">
        <v>377</v>
      </c>
      <c r="I14" s="602">
        <v>393</v>
      </c>
    </row>
    <row r="15" spans="1:9" x14ac:dyDescent="0.5">
      <c r="A15" s="602" t="s">
        <v>312</v>
      </c>
      <c r="B15" s="602">
        <v>5450</v>
      </c>
      <c r="C15" s="602">
        <v>16413</v>
      </c>
      <c r="D15" s="602">
        <v>21863</v>
      </c>
      <c r="E15" s="602">
        <v>2011</v>
      </c>
      <c r="F15" s="602">
        <v>0</v>
      </c>
      <c r="G15" s="602">
        <v>0</v>
      </c>
      <c r="H15" s="602">
        <v>515</v>
      </c>
      <c r="I15" s="602">
        <v>515</v>
      </c>
    </row>
    <row r="16" spans="1:9" x14ac:dyDescent="0.5">
      <c r="A16" s="602" t="s">
        <v>313</v>
      </c>
      <c r="B16" s="602">
        <v>3749</v>
      </c>
      <c r="C16" s="602">
        <v>16413</v>
      </c>
      <c r="D16" s="602">
        <v>20162</v>
      </c>
      <c r="E16" s="602">
        <v>2012</v>
      </c>
      <c r="F16" s="602">
        <v>0</v>
      </c>
      <c r="G16" s="602">
        <v>0</v>
      </c>
      <c r="H16" s="602">
        <v>380</v>
      </c>
      <c r="I16" s="602">
        <v>380</v>
      </c>
    </row>
    <row r="17" spans="1:9" x14ac:dyDescent="0.5">
      <c r="A17" s="602" t="s">
        <v>314</v>
      </c>
      <c r="B17" s="602">
        <v>3677</v>
      </c>
      <c r="C17" s="602">
        <v>16413</v>
      </c>
      <c r="D17" s="602">
        <v>20090</v>
      </c>
      <c r="E17" s="602">
        <v>2013</v>
      </c>
      <c r="F17" s="602">
        <v>2</v>
      </c>
      <c r="G17" s="602">
        <v>5.4392167527875983E-4</v>
      </c>
      <c r="H17" s="602">
        <v>131</v>
      </c>
      <c r="I17" s="602">
        <v>133</v>
      </c>
    </row>
    <row r="18" spans="1:9" x14ac:dyDescent="0.5">
      <c r="A18" s="602" t="s">
        <v>315</v>
      </c>
      <c r="B18" s="602">
        <v>5358</v>
      </c>
      <c r="C18" s="602">
        <v>16413</v>
      </c>
      <c r="D18" s="602">
        <v>21771</v>
      </c>
      <c r="E18" s="602">
        <v>2014</v>
      </c>
      <c r="F18" s="602">
        <v>31</v>
      </c>
      <c r="G18" s="602">
        <v>5.7999999999999996E-3</v>
      </c>
      <c r="H18" s="602">
        <v>547</v>
      </c>
      <c r="I18" s="602">
        <v>578</v>
      </c>
    </row>
    <row r="19" spans="1:9" x14ac:dyDescent="0.5">
      <c r="A19" s="602" t="s">
        <v>316</v>
      </c>
      <c r="B19" s="602">
        <v>2457</v>
      </c>
      <c r="C19" s="602">
        <v>16413</v>
      </c>
      <c r="D19" s="602">
        <v>18870</v>
      </c>
      <c r="E19" s="602">
        <v>2015</v>
      </c>
      <c r="F19" s="602">
        <v>0</v>
      </c>
      <c r="G19" s="602">
        <v>0</v>
      </c>
      <c r="H19" s="602">
        <v>174</v>
      </c>
      <c r="I19" s="602">
        <v>174</v>
      </c>
    </row>
    <row r="20" spans="1:9" x14ac:dyDescent="0.5">
      <c r="A20" s="602" t="s">
        <v>317</v>
      </c>
      <c r="B20" s="602">
        <v>1196</v>
      </c>
      <c r="C20" s="602">
        <v>16413</v>
      </c>
      <c r="D20" s="602">
        <v>17609</v>
      </c>
      <c r="E20" s="602">
        <v>2016</v>
      </c>
      <c r="F20" s="602">
        <v>8</v>
      </c>
      <c r="G20" s="602">
        <v>6.688963210702341E-3</v>
      </c>
      <c r="H20" s="602">
        <v>284</v>
      </c>
      <c r="I20" s="602">
        <v>292</v>
      </c>
    </row>
    <row r="21" spans="1:9" x14ac:dyDescent="0.5">
      <c r="A21" s="602" t="s">
        <v>318</v>
      </c>
      <c r="B21" s="602">
        <v>1487</v>
      </c>
      <c r="C21" s="602">
        <v>16413</v>
      </c>
      <c r="D21" s="602">
        <v>17900</v>
      </c>
      <c r="E21" s="602">
        <v>2017</v>
      </c>
      <c r="F21" s="602">
        <v>0</v>
      </c>
      <c r="G21" s="602">
        <v>0</v>
      </c>
      <c r="H21" s="602">
        <v>125</v>
      </c>
      <c r="I21" s="602">
        <v>125</v>
      </c>
    </row>
    <row r="22" spans="1:9" x14ac:dyDescent="0.5">
      <c r="A22" s="602" t="s">
        <v>326</v>
      </c>
      <c r="E22" s="602">
        <v>2018</v>
      </c>
      <c r="F22" s="602">
        <v>3.1</v>
      </c>
      <c r="H22" s="602">
        <v>414</v>
      </c>
      <c r="I22" s="602">
        <v>417.1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rgb="FF00B050"/>
  </sheetPr>
  <dimension ref="A1:L23"/>
  <sheetViews>
    <sheetView workbookViewId="0"/>
  </sheetViews>
  <sheetFormatPr defaultColWidth="8.87890625" defaultRowHeight="12.9" x14ac:dyDescent="0.5"/>
  <cols>
    <col min="1" max="16384" width="8.87890625" style="646"/>
  </cols>
  <sheetData>
    <row r="1" spans="1:12" x14ac:dyDescent="0.5">
      <c r="A1" s="653" t="s">
        <v>917</v>
      </c>
      <c r="B1" s="653" t="s">
        <v>918</v>
      </c>
      <c r="C1" s="653" t="s">
        <v>919</v>
      </c>
      <c r="D1" s="653" t="s">
        <v>920</v>
      </c>
      <c r="E1" s="653" t="s">
        <v>921</v>
      </c>
      <c r="F1" s="653" t="s">
        <v>922</v>
      </c>
      <c r="G1" s="653" t="s">
        <v>923</v>
      </c>
      <c r="H1" s="653" t="s">
        <v>924</v>
      </c>
      <c r="I1" s="653" t="s">
        <v>925</v>
      </c>
      <c r="J1" s="653" t="s">
        <v>819</v>
      </c>
      <c r="K1" s="653" t="s">
        <v>926</v>
      </c>
      <c r="L1" s="653" t="s">
        <v>927</v>
      </c>
    </row>
    <row r="2" spans="1:12" x14ac:dyDescent="0.5">
      <c r="A2" s="653" t="s">
        <v>914</v>
      </c>
      <c r="B2" s="654">
        <v>33</v>
      </c>
      <c r="C2" s="654">
        <v>0</v>
      </c>
      <c r="D2" s="655"/>
      <c r="E2" s="654">
        <v>99</v>
      </c>
      <c r="F2" s="655"/>
      <c r="G2" s="654">
        <v>5</v>
      </c>
      <c r="H2" s="654">
        <v>33</v>
      </c>
      <c r="I2" s="654">
        <v>5</v>
      </c>
      <c r="J2" s="656">
        <v>4.8999999999999998E-3</v>
      </c>
      <c r="K2" s="654">
        <v>909</v>
      </c>
      <c r="L2" s="654">
        <v>1014</v>
      </c>
    </row>
    <row r="3" spans="1:12" x14ac:dyDescent="0.5">
      <c r="A3" s="653" t="s">
        <v>915</v>
      </c>
      <c r="B3" s="654">
        <v>33</v>
      </c>
      <c r="C3" s="654">
        <v>5</v>
      </c>
      <c r="D3" s="655"/>
      <c r="E3" s="654">
        <v>94</v>
      </c>
      <c r="F3" s="655"/>
      <c r="G3" s="654">
        <v>5</v>
      </c>
      <c r="H3" s="654">
        <v>33</v>
      </c>
      <c r="I3" s="654">
        <v>10</v>
      </c>
      <c r="J3" s="656">
        <v>1.1599999999999999E-2</v>
      </c>
      <c r="K3" s="654">
        <v>769</v>
      </c>
      <c r="L3" s="654">
        <v>862</v>
      </c>
    </row>
    <row r="4" spans="1:12" x14ac:dyDescent="0.5">
      <c r="A4" s="653" t="s">
        <v>903</v>
      </c>
      <c r="B4" s="654">
        <v>39</v>
      </c>
      <c r="C4" s="654">
        <v>5</v>
      </c>
      <c r="D4" s="655"/>
      <c r="E4" s="654">
        <v>112</v>
      </c>
      <c r="F4" s="655"/>
      <c r="G4" s="654">
        <v>6</v>
      </c>
      <c r="H4" s="654">
        <v>39</v>
      </c>
      <c r="I4" s="654">
        <v>11</v>
      </c>
      <c r="J4" s="656">
        <v>9.7000000000000003E-3</v>
      </c>
      <c r="K4" s="654">
        <v>1019</v>
      </c>
      <c r="L4" s="654">
        <v>1135</v>
      </c>
    </row>
    <row r="5" spans="1:12" x14ac:dyDescent="0.5">
      <c r="A5" s="653" t="s">
        <v>916</v>
      </c>
      <c r="B5" s="654">
        <v>99</v>
      </c>
      <c r="C5" s="654">
        <v>0</v>
      </c>
      <c r="D5" s="655"/>
      <c r="E5" s="654">
        <v>297</v>
      </c>
      <c r="F5" s="655"/>
      <c r="G5" s="654">
        <v>15</v>
      </c>
      <c r="H5" s="654">
        <v>99</v>
      </c>
      <c r="I5" s="654">
        <v>15</v>
      </c>
      <c r="J5" s="656">
        <v>7.0000000000000001E-3</v>
      </c>
      <c r="K5" s="654">
        <v>2027</v>
      </c>
      <c r="L5" s="654">
        <v>2140</v>
      </c>
    </row>
    <row r="6" spans="1:12" x14ac:dyDescent="0.5">
      <c r="A6" s="653" t="s">
        <v>905</v>
      </c>
      <c r="B6" s="654">
        <v>84</v>
      </c>
      <c r="C6" s="654">
        <v>0</v>
      </c>
      <c r="D6" s="655"/>
      <c r="E6" s="654">
        <v>252</v>
      </c>
      <c r="F6" s="655"/>
      <c r="G6" s="654">
        <v>13</v>
      </c>
      <c r="H6" s="654">
        <v>84</v>
      </c>
      <c r="I6" s="654">
        <v>13</v>
      </c>
      <c r="J6" s="656">
        <v>5.1000000000000004E-3</v>
      </c>
      <c r="K6" s="654">
        <v>2451</v>
      </c>
      <c r="L6" s="654">
        <v>2571</v>
      </c>
    </row>
    <row r="7" spans="1:12" x14ac:dyDescent="0.5">
      <c r="A7" s="653" t="s">
        <v>804</v>
      </c>
      <c r="B7" s="654">
        <v>115</v>
      </c>
      <c r="C7" s="654">
        <v>11</v>
      </c>
      <c r="D7" s="655"/>
      <c r="E7" s="654">
        <v>334</v>
      </c>
      <c r="F7" s="655"/>
      <c r="G7" s="654">
        <v>17</v>
      </c>
      <c r="H7" s="654">
        <v>115</v>
      </c>
      <c r="I7" s="654">
        <v>28</v>
      </c>
      <c r="J7" s="656">
        <v>7.7000000000000002E-3</v>
      </c>
      <c r="K7" s="654">
        <v>3546</v>
      </c>
      <c r="L7" s="654">
        <v>3657</v>
      </c>
    </row>
    <row r="8" spans="1:12" x14ac:dyDescent="0.5">
      <c r="A8" s="653" t="s">
        <v>805</v>
      </c>
      <c r="B8" s="654">
        <v>56</v>
      </c>
      <c r="C8" s="654">
        <v>6</v>
      </c>
      <c r="D8" s="655"/>
      <c r="E8" s="654">
        <v>162</v>
      </c>
      <c r="F8" s="655"/>
      <c r="G8" s="654">
        <v>8</v>
      </c>
      <c r="H8" s="654">
        <v>56</v>
      </c>
      <c r="I8" s="654">
        <v>14</v>
      </c>
      <c r="J8" s="656">
        <v>6.6E-3</v>
      </c>
      <c r="K8" s="654">
        <v>2014</v>
      </c>
      <c r="L8" s="654">
        <v>2117</v>
      </c>
    </row>
    <row r="9" spans="1:12" x14ac:dyDescent="0.5">
      <c r="A9" s="653" t="s">
        <v>806</v>
      </c>
      <c r="B9" s="654">
        <v>77</v>
      </c>
      <c r="C9" s="654">
        <v>6</v>
      </c>
      <c r="D9" s="655"/>
      <c r="E9" s="654">
        <v>225</v>
      </c>
      <c r="F9" s="655"/>
      <c r="G9" s="654">
        <v>11</v>
      </c>
      <c r="H9" s="654">
        <v>77</v>
      </c>
      <c r="I9" s="654">
        <v>17</v>
      </c>
      <c r="J9" s="656">
        <v>8.0999999999999996E-3</v>
      </c>
      <c r="K9" s="654">
        <v>2001</v>
      </c>
      <c r="L9" s="654">
        <v>2101</v>
      </c>
    </row>
    <row r="10" spans="1:12" x14ac:dyDescent="0.5">
      <c r="A10" s="653" t="s">
        <v>807</v>
      </c>
      <c r="B10" s="654">
        <v>47</v>
      </c>
      <c r="C10" s="654">
        <v>3</v>
      </c>
      <c r="D10" s="655"/>
      <c r="E10" s="654">
        <v>138</v>
      </c>
      <c r="F10" s="655"/>
      <c r="G10" s="654">
        <v>7</v>
      </c>
      <c r="H10" s="654">
        <v>47</v>
      </c>
      <c r="I10" s="654">
        <v>10</v>
      </c>
      <c r="J10" s="656">
        <v>5.7999999999999996E-3</v>
      </c>
      <c r="K10" s="654">
        <v>1615</v>
      </c>
      <c r="L10" s="654">
        <v>1722</v>
      </c>
    </row>
    <row r="11" spans="1:12" x14ac:dyDescent="0.5">
      <c r="A11" s="653" t="s">
        <v>808</v>
      </c>
      <c r="B11" s="654">
        <v>98</v>
      </c>
      <c r="C11" s="654">
        <v>6</v>
      </c>
      <c r="D11" s="655"/>
      <c r="E11" s="654">
        <v>288</v>
      </c>
      <c r="F11" s="655"/>
      <c r="G11" s="654">
        <v>14</v>
      </c>
      <c r="H11" s="654">
        <v>98</v>
      </c>
      <c r="I11" s="654">
        <v>20</v>
      </c>
      <c r="J11" s="656">
        <v>1.35E-2</v>
      </c>
      <c r="K11" s="654">
        <v>1373</v>
      </c>
      <c r="L11" s="654">
        <v>1480</v>
      </c>
    </row>
    <row r="12" spans="1:12" x14ac:dyDescent="0.5">
      <c r="A12" s="653" t="s">
        <v>809</v>
      </c>
      <c r="B12" s="654">
        <v>31</v>
      </c>
      <c r="C12" s="654">
        <v>1</v>
      </c>
      <c r="D12" s="655"/>
      <c r="E12" s="654">
        <v>92</v>
      </c>
      <c r="F12" s="655"/>
      <c r="G12" s="654">
        <v>5</v>
      </c>
      <c r="H12" s="654">
        <v>31</v>
      </c>
      <c r="I12" s="654">
        <v>6</v>
      </c>
      <c r="J12" s="656">
        <v>2.3E-3</v>
      </c>
      <c r="K12" s="654">
        <v>2465</v>
      </c>
      <c r="L12" s="654">
        <v>2566</v>
      </c>
    </row>
    <row r="13" spans="1:12" x14ac:dyDescent="0.5">
      <c r="A13" s="653" t="s">
        <v>308</v>
      </c>
      <c r="B13" s="654">
        <v>31</v>
      </c>
      <c r="C13" s="654">
        <v>33</v>
      </c>
      <c r="D13" s="655"/>
      <c r="E13" s="654">
        <v>42</v>
      </c>
      <c r="F13" s="655"/>
      <c r="G13" s="654">
        <v>2</v>
      </c>
      <c r="H13" s="654">
        <v>31</v>
      </c>
      <c r="I13" s="654">
        <v>35</v>
      </c>
      <c r="J13" s="656">
        <v>1.5681003584229389E-2</v>
      </c>
      <c r="K13" s="655">
        <v>2098</v>
      </c>
      <c r="L13" s="654">
        <v>2232</v>
      </c>
    </row>
    <row r="14" spans="1:12" x14ac:dyDescent="0.5">
      <c r="A14" s="653" t="s">
        <v>309</v>
      </c>
      <c r="B14" s="654">
        <v>14</v>
      </c>
      <c r="C14" s="654">
        <v>57</v>
      </c>
      <c r="D14" s="655"/>
      <c r="E14" s="654">
        <v>73</v>
      </c>
      <c r="F14" s="655"/>
      <c r="G14" s="654">
        <v>4</v>
      </c>
      <c r="H14" s="654">
        <v>14</v>
      </c>
      <c r="I14" s="654">
        <v>61</v>
      </c>
      <c r="J14" s="656">
        <v>2.4254473161033796E-2</v>
      </c>
      <c r="K14" s="655">
        <v>2356</v>
      </c>
      <c r="L14" s="654">
        <v>2515</v>
      </c>
    </row>
    <row r="15" spans="1:12" x14ac:dyDescent="0.5">
      <c r="A15" s="653" t="s">
        <v>310</v>
      </c>
      <c r="B15" s="654">
        <v>18</v>
      </c>
      <c r="C15" s="654">
        <v>73</v>
      </c>
      <c r="D15" s="655"/>
      <c r="E15" s="654">
        <v>93</v>
      </c>
      <c r="F15" s="655"/>
      <c r="G15" s="654">
        <v>5</v>
      </c>
      <c r="H15" s="654">
        <v>18</v>
      </c>
      <c r="I15" s="654">
        <v>78</v>
      </c>
      <c r="J15" s="656">
        <v>2.0025673940949937E-2</v>
      </c>
      <c r="K15" s="655">
        <v>3722</v>
      </c>
      <c r="L15" s="654">
        <v>3895</v>
      </c>
    </row>
    <row r="16" spans="1:12" x14ac:dyDescent="0.5">
      <c r="A16" s="653" t="s">
        <v>311</v>
      </c>
      <c r="B16" s="654">
        <v>10</v>
      </c>
      <c r="C16" s="654">
        <v>60</v>
      </c>
      <c r="D16" s="655"/>
      <c r="E16" s="654">
        <v>76</v>
      </c>
      <c r="F16" s="655"/>
      <c r="G16" s="654">
        <v>4</v>
      </c>
      <c r="H16" s="654">
        <v>10</v>
      </c>
      <c r="I16" s="654">
        <v>64</v>
      </c>
      <c r="J16" s="656">
        <v>1.5876953609526172E-2</v>
      </c>
      <c r="K16" s="655">
        <v>3869</v>
      </c>
      <c r="L16" s="654">
        <v>4031</v>
      </c>
    </row>
    <row r="17" spans="1:12" x14ac:dyDescent="0.5">
      <c r="A17" s="653" t="s">
        <v>312</v>
      </c>
      <c r="B17" s="654">
        <v>21</v>
      </c>
      <c r="C17" s="654">
        <v>84</v>
      </c>
      <c r="D17" s="655"/>
      <c r="E17" s="654">
        <v>107</v>
      </c>
      <c r="F17" s="655"/>
      <c r="G17" s="654">
        <v>5</v>
      </c>
      <c r="H17" s="654">
        <v>21</v>
      </c>
      <c r="I17" s="654">
        <v>89</v>
      </c>
      <c r="J17" s="656">
        <v>2.6994237185319989E-2</v>
      </c>
      <c r="K17" s="655">
        <v>3122</v>
      </c>
      <c r="L17" s="654">
        <v>3297</v>
      </c>
    </row>
    <row r="18" spans="1:12" x14ac:dyDescent="0.5">
      <c r="A18" s="653" t="s">
        <v>313</v>
      </c>
      <c r="B18" s="654">
        <v>10</v>
      </c>
      <c r="C18" s="654">
        <v>26</v>
      </c>
      <c r="D18" s="654">
        <v>8</v>
      </c>
      <c r="E18" s="654">
        <v>10</v>
      </c>
      <c r="F18" s="654">
        <v>0</v>
      </c>
      <c r="G18" s="654">
        <v>1</v>
      </c>
      <c r="H18" s="654">
        <v>10</v>
      </c>
      <c r="I18" s="654">
        <v>27</v>
      </c>
      <c r="J18" s="656">
        <v>1.0769844435580374E-2</v>
      </c>
      <c r="K18" s="655">
        <v>2407</v>
      </c>
      <c r="L18" s="654">
        <v>2507</v>
      </c>
    </row>
    <row r="19" spans="1:12" x14ac:dyDescent="0.5">
      <c r="A19" s="653" t="s">
        <v>314</v>
      </c>
      <c r="B19" s="654">
        <v>7</v>
      </c>
      <c r="C19" s="654">
        <v>84</v>
      </c>
      <c r="D19" s="654">
        <v>1</v>
      </c>
      <c r="E19" s="654">
        <v>13</v>
      </c>
      <c r="F19" s="654">
        <v>0</v>
      </c>
      <c r="G19" s="654">
        <v>1</v>
      </c>
      <c r="H19" s="654">
        <v>7</v>
      </c>
      <c r="I19" s="654">
        <v>85</v>
      </c>
      <c r="J19" s="656">
        <v>3.0931586608442505E-2</v>
      </c>
      <c r="K19" s="655">
        <v>2583</v>
      </c>
      <c r="L19" s="654">
        <v>2748</v>
      </c>
    </row>
    <row r="20" spans="1:12" x14ac:dyDescent="0.5">
      <c r="A20" s="653" t="s">
        <v>315</v>
      </c>
      <c r="B20" s="654">
        <v>36</v>
      </c>
      <c r="C20" s="654">
        <v>290</v>
      </c>
      <c r="D20" s="654">
        <v>32</v>
      </c>
      <c r="E20" s="654">
        <v>255</v>
      </c>
      <c r="F20" s="654">
        <v>2</v>
      </c>
      <c r="G20" s="654">
        <v>13</v>
      </c>
      <c r="H20" s="654">
        <v>38</v>
      </c>
      <c r="I20" s="654">
        <v>303</v>
      </c>
      <c r="J20" s="656">
        <v>5.7495256166982922E-2</v>
      </c>
      <c r="K20" s="655">
        <v>4915</v>
      </c>
      <c r="L20" s="654">
        <v>5270</v>
      </c>
    </row>
    <row r="21" spans="1:12" x14ac:dyDescent="0.5">
      <c r="A21" s="653" t="s">
        <v>316</v>
      </c>
      <c r="B21" s="654">
        <v>27</v>
      </c>
      <c r="C21" s="654">
        <v>147</v>
      </c>
      <c r="D21" s="654">
        <v>32</v>
      </c>
      <c r="E21" s="654">
        <v>175</v>
      </c>
      <c r="F21" s="654">
        <v>2</v>
      </c>
      <c r="G21" s="654">
        <v>9</v>
      </c>
      <c r="H21" s="654">
        <v>29</v>
      </c>
      <c r="I21" s="654">
        <v>156</v>
      </c>
      <c r="J21" s="656">
        <v>4.1522491349480967E-2</v>
      </c>
      <c r="K21" s="655">
        <v>3543</v>
      </c>
      <c r="L21" s="654">
        <v>3757</v>
      </c>
    </row>
    <row r="22" spans="1:12" x14ac:dyDescent="0.5">
      <c r="A22" s="653" t="s">
        <v>317</v>
      </c>
      <c r="B22" s="655">
        <v>1</v>
      </c>
      <c r="C22" s="655">
        <v>4</v>
      </c>
      <c r="D22" s="655">
        <v>0</v>
      </c>
      <c r="E22" s="654">
        <v>1</v>
      </c>
      <c r="F22" s="654">
        <v>0</v>
      </c>
      <c r="G22" s="654">
        <v>0</v>
      </c>
      <c r="H22" s="654">
        <v>1</v>
      </c>
      <c r="I22" s="655">
        <v>4</v>
      </c>
      <c r="J22" s="656">
        <v>2.4375380865326022E-3</v>
      </c>
      <c r="K22" s="655">
        <v>1529</v>
      </c>
      <c r="L22" s="654">
        <v>1641</v>
      </c>
    </row>
    <row r="23" spans="1:12" x14ac:dyDescent="0.5">
      <c r="A23" s="653" t="s">
        <v>318</v>
      </c>
      <c r="B23" s="655">
        <v>8</v>
      </c>
      <c r="C23" s="655">
        <v>51</v>
      </c>
      <c r="D23" s="655">
        <v>2</v>
      </c>
      <c r="E23" s="655">
        <v>10</v>
      </c>
      <c r="F23" s="655">
        <v>0</v>
      </c>
      <c r="G23" s="655">
        <v>1</v>
      </c>
      <c r="H23" s="655">
        <v>8</v>
      </c>
      <c r="I23" s="655">
        <v>52</v>
      </c>
      <c r="J23" s="646">
        <v>4.5614035087719301E-2</v>
      </c>
      <c r="K23" s="655"/>
      <c r="L23" s="654">
        <v>1140</v>
      </c>
    </row>
  </sheetData>
  <pageMargins left="0.7" right="0.7" top="0.75" bottom="0.75" header="0.3" footer="0.3"/>
  <pageSetup orientation="portrait" horizontalDpi="90" verticalDpi="9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rgb="FF00B050"/>
  </sheetPr>
  <dimension ref="A1:D13"/>
  <sheetViews>
    <sheetView workbookViewId="0">
      <selection activeCell="C20" sqref="C20"/>
    </sheetView>
  </sheetViews>
  <sheetFormatPr defaultColWidth="8.87890625" defaultRowHeight="12.9" x14ac:dyDescent="0.5"/>
  <cols>
    <col min="1" max="1" width="12.41015625" style="647" customWidth="1"/>
    <col min="2" max="2" width="10.64453125" style="647" customWidth="1"/>
    <col min="3" max="3" width="10.3515625" style="647" customWidth="1"/>
    <col min="4" max="16384" width="8.87890625" style="647"/>
  </cols>
  <sheetData>
    <row r="1" spans="1:4" x14ac:dyDescent="0.5">
      <c r="A1" s="659" t="s">
        <v>875</v>
      </c>
      <c r="B1" s="659" t="s">
        <v>928</v>
      </c>
      <c r="C1" s="659" t="s">
        <v>929</v>
      </c>
      <c r="D1" s="659" t="s">
        <v>794</v>
      </c>
    </row>
    <row r="2" spans="1:4" x14ac:dyDescent="0.5">
      <c r="A2" s="659">
        <v>2008</v>
      </c>
      <c r="B2" s="663">
        <v>3444</v>
      </c>
      <c r="C2" s="664">
        <v>0</v>
      </c>
      <c r="D2" s="662">
        <v>0</v>
      </c>
    </row>
    <row r="3" spans="1:4" x14ac:dyDescent="0.5">
      <c r="A3" s="659">
        <v>2009</v>
      </c>
      <c r="B3" s="663">
        <v>6602</v>
      </c>
      <c r="C3" s="664">
        <v>0</v>
      </c>
      <c r="D3" s="662">
        <v>0</v>
      </c>
    </row>
    <row r="4" spans="1:4" x14ac:dyDescent="0.5">
      <c r="A4" s="659">
        <v>2010</v>
      </c>
      <c r="B4" s="663">
        <v>6064</v>
      </c>
      <c r="C4" s="664">
        <v>0</v>
      </c>
      <c r="D4" s="662">
        <v>0</v>
      </c>
    </row>
    <row r="5" spans="1:4" x14ac:dyDescent="0.5">
      <c r="A5" s="659">
        <v>2011</v>
      </c>
      <c r="B5" s="663">
        <v>6206</v>
      </c>
      <c r="C5" s="664">
        <v>3</v>
      </c>
      <c r="D5" s="662">
        <v>4.8340315823396714E-4</v>
      </c>
    </row>
    <row r="6" spans="1:4" x14ac:dyDescent="0.5">
      <c r="A6" s="659">
        <v>2012</v>
      </c>
      <c r="B6" s="663">
        <v>4516</v>
      </c>
      <c r="C6" s="664">
        <v>0</v>
      </c>
      <c r="D6" s="662">
        <v>0</v>
      </c>
    </row>
    <row r="7" spans="1:4" x14ac:dyDescent="0.5">
      <c r="A7" s="659">
        <v>2013</v>
      </c>
      <c r="B7" s="663">
        <v>4083</v>
      </c>
      <c r="C7" s="664">
        <v>0</v>
      </c>
      <c r="D7" s="662">
        <v>0</v>
      </c>
    </row>
    <row r="8" spans="1:4" x14ac:dyDescent="0.5">
      <c r="A8" s="659">
        <v>2014</v>
      </c>
      <c r="B8" s="663">
        <v>5181</v>
      </c>
      <c r="C8" s="664">
        <v>0</v>
      </c>
      <c r="D8" s="662">
        <v>0</v>
      </c>
    </row>
    <row r="9" spans="1:4" x14ac:dyDescent="0.5">
      <c r="A9" s="659">
        <v>2015</v>
      </c>
      <c r="B9" s="663">
        <v>3938</v>
      </c>
      <c r="C9" s="664">
        <v>0</v>
      </c>
      <c r="D9" s="662">
        <v>0</v>
      </c>
    </row>
    <row r="10" spans="1:4" x14ac:dyDescent="0.5">
      <c r="A10" s="659">
        <v>2016</v>
      </c>
      <c r="B10" s="663">
        <v>1604</v>
      </c>
      <c r="C10" s="664">
        <v>0</v>
      </c>
      <c r="D10" s="662">
        <v>0</v>
      </c>
    </row>
    <row r="11" spans="1:4" x14ac:dyDescent="0.5">
      <c r="A11" s="659">
        <v>2017</v>
      </c>
      <c r="B11" s="663">
        <v>1372</v>
      </c>
      <c r="C11" s="664">
        <v>0</v>
      </c>
      <c r="D11" s="662">
        <v>0</v>
      </c>
    </row>
    <row r="12" spans="1:4" x14ac:dyDescent="0.5">
      <c r="A12" s="659">
        <v>2018</v>
      </c>
      <c r="B12" s="663">
        <v>1055</v>
      </c>
      <c r="C12" s="664">
        <v>0</v>
      </c>
      <c r="D12" s="662">
        <v>0</v>
      </c>
    </row>
    <row r="13" spans="1:4" x14ac:dyDescent="0.5">
      <c r="A13" s="659"/>
      <c r="B13" s="659"/>
      <c r="C13" s="661"/>
      <c r="D13" s="660"/>
    </row>
  </sheetData>
  <pageMargins left="0.7" right="0.7" top="0.75" bottom="0.75" header="0.3" footer="0.3"/>
  <pageSetup orientation="portrait" horizontalDpi="90" verticalDpi="9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tabColor rgb="FF00B050"/>
  </sheetPr>
  <dimension ref="A1:D13"/>
  <sheetViews>
    <sheetView workbookViewId="0">
      <selection activeCell="A12" sqref="A12"/>
    </sheetView>
  </sheetViews>
  <sheetFormatPr defaultColWidth="8.87890625" defaultRowHeight="12.9" x14ac:dyDescent="0.5"/>
  <cols>
    <col min="1" max="1" width="8.87890625" style="647"/>
    <col min="2" max="2" width="13.64453125" style="647" customWidth="1"/>
    <col min="3" max="16384" width="8.87890625" style="647"/>
  </cols>
  <sheetData>
    <row r="1" spans="1:4" x14ac:dyDescent="0.5">
      <c r="A1" s="603" t="s">
        <v>875</v>
      </c>
      <c r="B1" s="603" t="s">
        <v>930</v>
      </c>
      <c r="C1" s="603" t="s">
        <v>931</v>
      </c>
      <c r="D1" s="603" t="s">
        <v>932</v>
      </c>
    </row>
    <row r="2" spans="1:4" x14ac:dyDescent="0.5">
      <c r="A2" s="603">
        <v>2008</v>
      </c>
      <c r="B2" s="666">
        <v>714</v>
      </c>
      <c r="C2" s="666">
        <v>0</v>
      </c>
      <c r="D2" s="665">
        <v>0</v>
      </c>
    </row>
    <row r="3" spans="1:4" x14ac:dyDescent="0.5">
      <c r="A3" s="603">
        <v>2009</v>
      </c>
      <c r="B3" s="666">
        <v>709</v>
      </c>
      <c r="C3" s="666">
        <v>0</v>
      </c>
      <c r="D3" s="665">
        <v>0</v>
      </c>
    </row>
    <row r="4" spans="1:4" x14ac:dyDescent="0.5">
      <c r="A4" s="603">
        <v>2010</v>
      </c>
      <c r="B4" s="666">
        <v>2237</v>
      </c>
      <c r="C4" s="666">
        <v>0</v>
      </c>
      <c r="D4" s="665">
        <v>0</v>
      </c>
    </row>
    <row r="5" spans="1:4" x14ac:dyDescent="0.5">
      <c r="A5" s="603">
        <v>2011</v>
      </c>
      <c r="B5" s="666">
        <v>2189</v>
      </c>
      <c r="C5" s="666">
        <v>0</v>
      </c>
      <c r="D5" s="665">
        <v>0</v>
      </c>
    </row>
    <row r="6" spans="1:4" x14ac:dyDescent="0.5">
      <c r="A6" s="603">
        <v>2012</v>
      </c>
      <c r="B6" s="666">
        <v>1420</v>
      </c>
      <c r="C6" s="666">
        <v>0</v>
      </c>
      <c r="D6" s="665">
        <v>0</v>
      </c>
    </row>
    <row r="7" spans="1:4" x14ac:dyDescent="0.5">
      <c r="A7" s="603">
        <v>2013</v>
      </c>
      <c r="B7" s="666">
        <v>931</v>
      </c>
      <c r="C7" s="666">
        <v>0</v>
      </c>
      <c r="D7" s="665">
        <v>0</v>
      </c>
    </row>
    <row r="8" spans="1:4" x14ac:dyDescent="0.5">
      <c r="A8" s="603">
        <v>2014</v>
      </c>
      <c r="B8" s="666">
        <v>1151</v>
      </c>
      <c r="C8" s="666">
        <v>0</v>
      </c>
      <c r="D8" s="665">
        <v>0</v>
      </c>
    </row>
    <row r="9" spans="1:4" x14ac:dyDescent="0.5">
      <c r="A9" s="603">
        <v>2015</v>
      </c>
      <c r="B9" s="666">
        <v>939</v>
      </c>
      <c r="C9" s="666">
        <v>0</v>
      </c>
      <c r="D9" s="665">
        <v>0</v>
      </c>
    </row>
    <row r="10" spans="1:4" x14ac:dyDescent="0.5">
      <c r="A10" s="603">
        <v>2016</v>
      </c>
      <c r="B10" s="666">
        <v>367</v>
      </c>
      <c r="C10" s="666">
        <v>0</v>
      </c>
      <c r="D10" s="665">
        <v>0</v>
      </c>
    </row>
    <row r="11" spans="1:4" x14ac:dyDescent="0.5">
      <c r="A11" s="603">
        <v>2017</v>
      </c>
      <c r="B11" s="666">
        <v>330</v>
      </c>
      <c r="C11" s="666">
        <v>0</v>
      </c>
      <c r="D11" s="665">
        <v>0</v>
      </c>
    </row>
    <row r="12" spans="1:4" x14ac:dyDescent="0.5">
      <c r="A12" s="603">
        <v>2018</v>
      </c>
      <c r="B12" s="666"/>
      <c r="C12" s="666">
        <v>0</v>
      </c>
      <c r="D12" s="665">
        <v>0</v>
      </c>
    </row>
    <row r="13" spans="1:4" x14ac:dyDescent="0.5">
      <c r="A13" s="603"/>
      <c r="B13" s="603"/>
      <c r="C13" s="658"/>
      <c r="D13" s="657"/>
    </row>
  </sheetData>
  <pageMargins left="0.7" right="0.7" top="0.75" bottom="0.75" header="0.3" footer="0.3"/>
  <pageSetup orientation="portrait" horizontalDpi="90" verticalDpi="9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tabColor rgb="FF00B050"/>
  </sheetPr>
  <dimension ref="A1:S14"/>
  <sheetViews>
    <sheetView workbookViewId="0">
      <selection activeCell="A2" sqref="A2"/>
    </sheetView>
  </sheetViews>
  <sheetFormatPr defaultRowHeight="12.9" x14ac:dyDescent="0.5"/>
  <sheetData>
    <row r="1" spans="1:19" x14ac:dyDescent="0.5">
      <c r="A1" t="s">
        <v>82</v>
      </c>
      <c r="B1" t="s">
        <v>933</v>
      </c>
      <c r="C1" s="539" t="s">
        <v>934</v>
      </c>
      <c r="D1" s="539" t="s">
        <v>939</v>
      </c>
      <c r="E1" s="539" t="s">
        <v>935</v>
      </c>
      <c r="F1" s="539" t="s">
        <v>936</v>
      </c>
      <c r="G1" s="539" t="s">
        <v>940</v>
      </c>
      <c r="H1" s="539" t="s">
        <v>937</v>
      </c>
      <c r="I1" s="539" t="s">
        <v>938</v>
      </c>
      <c r="J1" s="539" t="s">
        <v>941</v>
      </c>
      <c r="K1" s="539" t="s">
        <v>942</v>
      </c>
      <c r="L1" s="539" t="s">
        <v>943</v>
      </c>
      <c r="M1" s="539" t="s">
        <v>944</v>
      </c>
      <c r="N1" s="539" t="s">
        <v>945</v>
      </c>
      <c r="O1" s="539" t="s">
        <v>946</v>
      </c>
      <c r="P1" s="539" t="s">
        <v>947</v>
      </c>
      <c r="Q1" s="539" t="s">
        <v>948</v>
      </c>
      <c r="R1" s="539" t="s">
        <v>949</v>
      </c>
      <c r="S1" s="539" t="s">
        <v>950</v>
      </c>
    </row>
    <row r="2" spans="1:19" x14ac:dyDescent="0.5">
      <c r="A2">
        <v>2008</v>
      </c>
      <c r="B2">
        <v>1105</v>
      </c>
      <c r="C2">
        <v>0</v>
      </c>
      <c r="D2">
        <v>0</v>
      </c>
      <c r="E2">
        <v>772</v>
      </c>
      <c r="F2">
        <v>1</v>
      </c>
      <c r="G2">
        <v>1.2999999999999999E-3</v>
      </c>
      <c r="H2">
        <v>1133</v>
      </c>
      <c r="I2">
        <v>2</v>
      </c>
      <c r="J2">
        <v>1.8E-3</v>
      </c>
      <c r="K2">
        <v>1162</v>
      </c>
      <c r="L2">
        <v>0</v>
      </c>
      <c r="M2">
        <v>0</v>
      </c>
      <c r="N2">
        <v>207</v>
      </c>
      <c r="O2">
        <v>0</v>
      </c>
      <c r="P2">
        <v>0</v>
      </c>
      <c r="Q2">
        <v>2432</v>
      </c>
      <c r="R2">
        <v>0</v>
      </c>
      <c r="S2">
        <v>0</v>
      </c>
    </row>
    <row r="3" spans="1:19" x14ac:dyDescent="0.5">
      <c r="A3">
        <v>2009</v>
      </c>
      <c r="B3">
        <v>974</v>
      </c>
      <c r="C3">
        <v>1</v>
      </c>
      <c r="D3">
        <v>1E-3</v>
      </c>
      <c r="E3">
        <v>359</v>
      </c>
      <c r="F3">
        <v>1</v>
      </c>
      <c r="G3">
        <v>2.8E-3</v>
      </c>
      <c r="H3">
        <v>890</v>
      </c>
      <c r="I3">
        <v>2</v>
      </c>
      <c r="J3">
        <v>2.2000000000000001E-3</v>
      </c>
      <c r="K3">
        <v>850</v>
      </c>
      <c r="L3">
        <v>0</v>
      </c>
      <c r="M3">
        <v>0</v>
      </c>
      <c r="N3">
        <v>240</v>
      </c>
      <c r="O3">
        <v>0</v>
      </c>
      <c r="P3">
        <v>0</v>
      </c>
      <c r="Q3">
        <v>2233</v>
      </c>
      <c r="R3">
        <v>0</v>
      </c>
      <c r="S3">
        <v>0</v>
      </c>
    </row>
    <row r="4" spans="1:19" x14ac:dyDescent="0.5">
      <c r="A4">
        <v>2010</v>
      </c>
      <c r="B4">
        <v>1172</v>
      </c>
      <c r="C4">
        <v>0</v>
      </c>
      <c r="D4">
        <v>0</v>
      </c>
      <c r="E4">
        <v>243</v>
      </c>
      <c r="F4">
        <v>1</v>
      </c>
      <c r="G4">
        <v>4.1000000000000003E-3</v>
      </c>
      <c r="H4">
        <v>1023</v>
      </c>
      <c r="I4">
        <v>5</v>
      </c>
      <c r="J4">
        <v>4.8999999999999998E-3</v>
      </c>
      <c r="K4">
        <v>918</v>
      </c>
      <c r="L4">
        <v>0</v>
      </c>
      <c r="M4">
        <v>0</v>
      </c>
      <c r="N4">
        <v>260</v>
      </c>
      <c r="O4">
        <v>0</v>
      </c>
      <c r="P4">
        <v>0</v>
      </c>
      <c r="Q4">
        <v>1501</v>
      </c>
      <c r="R4">
        <v>1</v>
      </c>
      <c r="S4">
        <v>6.9999999999999999E-4</v>
      </c>
    </row>
    <row r="5" spans="1:19" x14ac:dyDescent="0.5">
      <c r="A5">
        <v>2011</v>
      </c>
      <c r="B5">
        <v>1110</v>
      </c>
      <c r="C5">
        <v>0</v>
      </c>
      <c r="D5">
        <v>0</v>
      </c>
      <c r="E5">
        <v>278</v>
      </c>
      <c r="F5">
        <v>0</v>
      </c>
      <c r="G5">
        <v>0</v>
      </c>
      <c r="H5">
        <v>1128</v>
      </c>
      <c r="I5">
        <v>5</v>
      </c>
      <c r="J5">
        <v>4.4000000000000003E-3</v>
      </c>
      <c r="K5">
        <v>767</v>
      </c>
      <c r="L5">
        <v>2</v>
      </c>
      <c r="M5">
        <v>2.5999999999999999E-3</v>
      </c>
      <c r="N5">
        <v>77</v>
      </c>
      <c r="O5">
        <v>0</v>
      </c>
      <c r="P5">
        <v>0</v>
      </c>
      <c r="Q5">
        <v>1314</v>
      </c>
      <c r="R5">
        <v>0</v>
      </c>
      <c r="S5">
        <v>0</v>
      </c>
    </row>
    <row r="6" spans="1:19" x14ac:dyDescent="0.5">
      <c r="A6">
        <v>2012</v>
      </c>
      <c r="B6">
        <v>1301</v>
      </c>
      <c r="C6">
        <v>0</v>
      </c>
      <c r="D6">
        <v>0</v>
      </c>
      <c r="E6">
        <v>209</v>
      </c>
      <c r="F6">
        <v>0</v>
      </c>
      <c r="G6">
        <v>0</v>
      </c>
      <c r="H6">
        <v>1324</v>
      </c>
      <c r="I6">
        <v>2</v>
      </c>
      <c r="J6">
        <v>1.5E-3</v>
      </c>
      <c r="K6">
        <v>1637</v>
      </c>
      <c r="L6">
        <v>0</v>
      </c>
      <c r="M6">
        <v>0</v>
      </c>
      <c r="N6">
        <v>87</v>
      </c>
      <c r="O6">
        <v>0</v>
      </c>
      <c r="P6">
        <v>0</v>
      </c>
      <c r="Q6">
        <v>1399</v>
      </c>
      <c r="R6">
        <v>0</v>
      </c>
      <c r="S6">
        <v>0</v>
      </c>
    </row>
    <row r="7" spans="1:19" x14ac:dyDescent="0.5">
      <c r="A7">
        <v>2013</v>
      </c>
      <c r="B7">
        <v>917</v>
      </c>
      <c r="C7">
        <v>0</v>
      </c>
      <c r="D7">
        <v>0</v>
      </c>
      <c r="E7">
        <v>466</v>
      </c>
      <c r="F7">
        <v>0</v>
      </c>
      <c r="G7">
        <v>0</v>
      </c>
      <c r="H7">
        <v>1365</v>
      </c>
      <c r="I7">
        <v>1</v>
      </c>
      <c r="J7">
        <v>6.9999999999999999E-4</v>
      </c>
      <c r="K7">
        <v>799</v>
      </c>
      <c r="L7">
        <v>3</v>
      </c>
      <c r="M7">
        <v>3.8E-3</v>
      </c>
      <c r="N7">
        <v>83</v>
      </c>
      <c r="O7">
        <v>0</v>
      </c>
      <c r="P7">
        <v>0</v>
      </c>
      <c r="Q7">
        <v>1197</v>
      </c>
      <c r="R7">
        <v>0</v>
      </c>
      <c r="S7">
        <v>0</v>
      </c>
    </row>
    <row r="8" spans="1:19" x14ac:dyDescent="0.5">
      <c r="A8">
        <v>2014</v>
      </c>
      <c r="B8">
        <v>1764</v>
      </c>
      <c r="C8">
        <v>1</v>
      </c>
      <c r="D8">
        <v>5.9999999999999995E-4</v>
      </c>
      <c r="E8">
        <v>377</v>
      </c>
      <c r="F8">
        <v>1</v>
      </c>
      <c r="G8">
        <v>2.7000000000000001E-3</v>
      </c>
      <c r="H8">
        <v>1270</v>
      </c>
      <c r="I8">
        <v>1</v>
      </c>
      <c r="J8">
        <v>8.0000000000000004E-4</v>
      </c>
      <c r="K8">
        <v>1420</v>
      </c>
      <c r="L8">
        <v>5</v>
      </c>
      <c r="M8">
        <v>3.5000000000000001E-3</v>
      </c>
      <c r="N8">
        <v>144</v>
      </c>
      <c r="O8">
        <v>0</v>
      </c>
      <c r="P8">
        <v>0</v>
      </c>
      <c r="Q8">
        <v>1584</v>
      </c>
      <c r="R8">
        <v>0</v>
      </c>
      <c r="S8">
        <v>0</v>
      </c>
    </row>
    <row r="9" spans="1:19" x14ac:dyDescent="0.5">
      <c r="A9">
        <v>2015</v>
      </c>
      <c r="B9">
        <v>1499</v>
      </c>
      <c r="C9">
        <v>0</v>
      </c>
      <c r="D9">
        <v>0</v>
      </c>
      <c r="E9">
        <v>221</v>
      </c>
      <c r="F9">
        <v>1</v>
      </c>
      <c r="G9">
        <v>4.4999999999999997E-3</v>
      </c>
      <c r="H9">
        <v>1626</v>
      </c>
      <c r="I9">
        <v>1</v>
      </c>
      <c r="J9">
        <v>5.9999999999999995E-4</v>
      </c>
      <c r="K9">
        <v>917</v>
      </c>
      <c r="L9">
        <v>2</v>
      </c>
      <c r="M9">
        <v>2.2000000000000001E-3</v>
      </c>
      <c r="N9">
        <v>66</v>
      </c>
      <c r="O9">
        <v>0</v>
      </c>
      <c r="P9">
        <v>0</v>
      </c>
      <c r="Q9">
        <v>838</v>
      </c>
      <c r="R9">
        <v>0</v>
      </c>
      <c r="S9">
        <v>0</v>
      </c>
    </row>
    <row r="10" spans="1:19" x14ac:dyDescent="0.5">
      <c r="A10">
        <v>2016</v>
      </c>
      <c r="B10">
        <v>1359</v>
      </c>
      <c r="C10">
        <v>1</v>
      </c>
      <c r="D10">
        <v>6.9999999999999999E-4</v>
      </c>
      <c r="E10">
        <v>537</v>
      </c>
      <c r="F10">
        <v>3</v>
      </c>
      <c r="G10">
        <v>5.5999999999999999E-3</v>
      </c>
      <c r="H10">
        <v>1154</v>
      </c>
      <c r="I10">
        <v>2</v>
      </c>
      <c r="J10">
        <v>1.6999999999999999E-3</v>
      </c>
      <c r="K10">
        <v>1706</v>
      </c>
      <c r="L10">
        <v>1</v>
      </c>
      <c r="M10">
        <v>5.9999999999999995E-4</v>
      </c>
      <c r="N10">
        <v>140</v>
      </c>
      <c r="O10">
        <v>0</v>
      </c>
      <c r="P10">
        <v>0</v>
      </c>
      <c r="Q10">
        <v>1470</v>
      </c>
      <c r="R10">
        <v>1</v>
      </c>
      <c r="S10">
        <v>6.9999999999999999E-4</v>
      </c>
    </row>
    <row r="11" spans="1:19" x14ac:dyDescent="0.5">
      <c r="A11">
        <v>2017</v>
      </c>
      <c r="B11">
        <v>1072</v>
      </c>
      <c r="C11">
        <v>0</v>
      </c>
      <c r="D11">
        <v>0</v>
      </c>
      <c r="E11">
        <v>516</v>
      </c>
      <c r="F11">
        <v>1</v>
      </c>
      <c r="G11">
        <v>1.9E-3</v>
      </c>
      <c r="H11">
        <v>901</v>
      </c>
      <c r="I11">
        <v>3</v>
      </c>
      <c r="J11">
        <v>3.3E-3</v>
      </c>
      <c r="K11">
        <v>1095</v>
      </c>
      <c r="L11">
        <v>3</v>
      </c>
      <c r="M11">
        <v>2.7000000000000001E-3</v>
      </c>
      <c r="N11">
        <v>52</v>
      </c>
      <c r="O11">
        <v>0</v>
      </c>
      <c r="P11">
        <v>0</v>
      </c>
      <c r="Q11">
        <v>785</v>
      </c>
      <c r="R11">
        <v>0</v>
      </c>
      <c r="S11">
        <v>0</v>
      </c>
    </row>
    <row r="12" spans="1:19" x14ac:dyDescent="0.5">
      <c r="A12">
        <v>2018</v>
      </c>
      <c r="B12">
        <v>1460</v>
      </c>
      <c r="C12">
        <v>0</v>
      </c>
      <c r="D12">
        <v>0</v>
      </c>
      <c r="E12">
        <v>329</v>
      </c>
      <c r="F12">
        <v>1</v>
      </c>
      <c r="G12">
        <v>3.0395136778115501E-3</v>
      </c>
      <c r="H12">
        <v>1197</v>
      </c>
      <c r="I12">
        <v>1</v>
      </c>
      <c r="J12">
        <v>8.3542188805346695E-4</v>
      </c>
      <c r="K12">
        <v>1871</v>
      </c>
      <c r="L12">
        <v>1</v>
      </c>
      <c r="M12">
        <v>5.3447354355959376E-4</v>
      </c>
      <c r="N12">
        <v>85</v>
      </c>
      <c r="O12">
        <v>0</v>
      </c>
      <c r="P12">
        <v>0</v>
      </c>
      <c r="Q12">
        <v>813</v>
      </c>
      <c r="R12">
        <v>0</v>
      </c>
      <c r="S12">
        <v>0</v>
      </c>
    </row>
    <row r="13" spans="1:19" x14ac:dyDescent="0.5">
      <c r="A13">
        <v>2019</v>
      </c>
      <c r="B13" s="539">
        <v>1460</v>
      </c>
      <c r="C13" s="539">
        <v>0</v>
      </c>
      <c r="D13" s="539">
        <v>0</v>
      </c>
      <c r="E13" s="539">
        <v>329</v>
      </c>
      <c r="F13" s="539">
        <v>1</v>
      </c>
      <c r="G13" s="539">
        <v>3.0395136778115501E-3</v>
      </c>
      <c r="H13" s="539">
        <v>1197</v>
      </c>
      <c r="I13" s="539">
        <v>1</v>
      </c>
      <c r="J13" s="539">
        <v>8.3542188805346695E-4</v>
      </c>
      <c r="K13" s="539">
        <v>1871</v>
      </c>
      <c r="L13" s="539">
        <v>1</v>
      </c>
      <c r="M13" s="539">
        <v>5.3447354355959376E-4</v>
      </c>
      <c r="N13" s="539">
        <v>85</v>
      </c>
      <c r="O13" s="539">
        <v>0</v>
      </c>
      <c r="P13" s="539">
        <v>0</v>
      </c>
      <c r="Q13" s="539">
        <v>813</v>
      </c>
      <c r="R13" s="539">
        <v>0</v>
      </c>
      <c r="S13" s="539">
        <v>0</v>
      </c>
    </row>
    <row r="14" spans="1:19" x14ac:dyDescent="0.5">
      <c r="A14">
        <v>2020</v>
      </c>
      <c r="B14" s="539">
        <v>1460</v>
      </c>
      <c r="C14" s="539">
        <v>0</v>
      </c>
      <c r="D14" s="539">
        <v>0</v>
      </c>
      <c r="E14" s="539">
        <v>329</v>
      </c>
      <c r="F14" s="539">
        <v>1</v>
      </c>
      <c r="G14" s="539">
        <v>3.0395136778115501E-3</v>
      </c>
      <c r="H14" s="539">
        <v>1197</v>
      </c>
      <c r="I14" s="539">
        <v>1</v>
      </c>
      <c r="J14" s="539">
        <v>8.3542188805346695E-4</v>
      </c>
      <c r="K14" s="539">
        <v>1871</v>
      </c>
      <c r="L14" s="539">
        <v>1</v>
      </c>
      <c r="M14" s="539">
        <v>5.3447354355959376E-4</v>
      </c>
      <c r="N14" s="539">
        <v>85</v>
      </c>
      <c r="O14" s="539">
        <v>0</v>
      </c>
      <c r="P14" s="539">
        <v>0</v>
      </c>
      <c r="Q14" s="539">
        <v>813</v>
      </c>
      <c r="R14" s="539">
        <v>0</v>
      </c>
      <c r="S14" s="539">
        <v>0</v>
      </c>
    </row>
  </sheetData>
  <pageMargins left="0.7" right="0.7" top="0.75" bottom="0.75" header="0.3" footer="0.3"/>
  <pageSetup orientation="portrait" horizontalDpi="90" verticalDpi="9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tabColor rgb="FF00B050"/>
  </sheetPr>
  <dimension ref="A1:H13"/>
  <sheetViews>
    <sheetView workbookViewId="0">
      <selection sqref="A1:H1"/>
    </sheetView>
  </sheetViews>
  <sheetFormatPr defaultColWidth="8.87890625" defaultRowHeight="12.9" x14ac:dyDescent="0.5"/>
  <cols>
    <col min="1" max="8" width="10.76171875" style="668" customWidth="1"/>
    <col min="9" max="16384" width="8.87890625" style="668"/>
  </cols>
  <sheetData>
    <row r="1" spans="1:8" x14ac:dyDescent="0.5">
      <c r="A1" s="616" t="s">
        <v>82</v>
      </c>
      <c r="B1" s="616" t="s">
        <v>951</v>
      </c>
      <c r="C1" s="616" t="s">
        <v>952</v>
      </c>
      <c r="D1" s="616" t="s">
        <v>953</v>
      </c>
      <c r="E1" s="616" t="s">
        <v>954</v>
      </c>
      <c r="F1" s="616" t="s">
        <v>955</v>
      </c>
      <c r="G1" s="616" t="s">
        <v>956</v>
      </c>
      <c r="H1" s="616" t="s">
        <v>957</v>
      </c>
    </row>
    <row r="2" spans="1:8" x14ac:dyDescent="0.5">
      <c r="A2" s="616">
        <v>2008</v>
      </c>
      <c r="B2" s="670">
        <v>0</v>
      </c>
      <c r="C2" s="670">
        <v>0</v>
      </c>
      <c r="D2" s="670">
        <v>0</v>
      </c>
      <c r="E2" s="670">
        <v>0</v>
      </c>
      <c r="F2" s="670">
        <v>0</v>
      </c>
      <c r="G2" s="670">
        <v>0</v>
      </c>
      <c r="H2" s="670">
        <v>1.0000000000000001E-5</v>
      </c>
    </row>
    <row r="3" spans="1:8" x14ac:dyDescent="0.5">
      <c r="A3" s="616">
        <v>2009</v>
      </c>
      <c r="B3" s="670">
        <v>1.0000000000000001E-5</v>
      </c>
      <c r="C3" s="670">
        <v>1.0000000000000001E-5</v>
      </c>
      <c r="D3" s="670">
        <v>0</v>
      </c>
      <c r="E3" s="670">
        <v>0</v>
      </c>
      <c r="F3" s="670">
        <v>0</v>
      </c>
      <c r="G3" s="670">
        <v>0</v>
      </c>
      <c r="H3" s="670">
        <v>1.0000000000000001E-5</v>
      </c>
    </row>
    <row r="4" spans="1:8" x14ac:dyDescent="0.5">
      <c r="A4" s="616">
        <v>2010</v>
      </c>
      <c r="B4" s="670">
        <v>0</v>
      </c>
      <c r="C4" s="670">
        <v>0</v>
      </c>
      <c r="D4" s="670">
        <v>0</v>
      </c>
      <c r="E4" s="670">
        <v>0</v>
      </c>
      <c r="F4" s="670">
        <v>0</v>
      </c>
      <c r="G4" s="670">
        <v>0</v>
      </c>
      <c r="H4" s="670">
        <v>1.0000000000000001E-5</v>
      </c>
    </row>
    <row r="5" spans="1:8" x14ac:dyDescent="0.5">
      <c r="A5" s="616">
        <v>2011</v>
      </c>
      <c r="B5" s="670">
        <v>0</v>
      </c>
      <c r="C5" s="670">
        <v>0</v>
      </c>
      <c r="D5" s="670">
        <v>0</v>
      </c>
      <c r="E5" s="670">
        <v>0</v>
      </c>
      <c r="F5" s="670">
        <v>0</v>
      </c>
      <c r="G5" s="670">
        <v>0</v>
      </c>
      <c r="H5" s="670">
        <v>1.0000000000000001E-5</v>
      </c>
    </row>
    <row r="6" spans="1:8" x14ac:dyDescent="0.5">
      <c r="A6" s="616">
        <v>2012</v>
      </c>
      <c r="B6" s="670">
        <v>0</v>
      </c>
      <c r="C6" s="670">
        <v>0</v>
      </c>
      <c r="D6" s="670">
        <v>0</v>
      </c>
      <c r="E6" s="670">
        <v>0</v>
      </c>
      <c r="F6" s="670">
        <v>0</v>
      </c>
      <c r="G6" s="670">
        <v>0</v>
      </c>
      <c r="H6" s="670">
        <v>0</v>
      </c>
    </row>
    <row r="7" spans="1:8" x14ac:dyDescent="0.5">
      <c r="A7" s="616">
        <v>2013</v>
      </c>
      <c r="B7" s="670">
        <v>0</v>
      </c>
      <c r="C7" s="670">
        <v>0</v>
      </c>
      <c r="D7" s="670">
        <v>0</v>
      </c>
      <c r="E7" s="670">
        <v>0</v>
      </c>
      <c r="F7" s="670">
        <v>0</v>
      </c>
      <c r="G7" s="670">
        <v>0</v>
      </c>
      <c r="H7" s="670">
        <v>0</v>
      </c>
    </row>
    <row r="8" spans="1:8" x14ac:dyDescent="0.5">
      <c r="A8" s="616">
        <v>2014</v>
      </c>
      <c r="B8" s="670">
        <v>0</v>
      </c>
      <c r="C8" s="670">
        <v>0</v>
      </c>
      <c r="D8" s="670">
        <v>0</v>
      </c>
      <c r="E8" s="670">
        <v>0</v>
      </c>
      <c r="F8" s="670">
        <v>0</v>
      </c>
      <c r="G8" s="670">
        <v>0</v>
      </c>
      <c r="H8" s="670">
        <v>0</v>
      </c>
    </row>
    <row r="9" spans="1:8" x14ac:dyDescent="0.5">
      <c r="A9" s="616">
        <v>2015</v>
      </c>
      <c r="B9" s="670">
        <v>0</v>
      </c>
      <c r="C9" s="670">
        <v>0</v>
      </c>
      <c r="D9" s="670">
        <v>0</v>
      </c>
      <c r="E9" s="670">
        <v>0</v>
      </c>
      <c r="F9" s="670">
        <v>0</v>
      </c>
      <c r="G9" s="670">
        <v>0</v>
      </c>
      <c r="H9" s="670">
        <v>0</v>
      </c>
    </row>
    <row r="10" spans="1:8" x14ac:dyDescent="0.5">
      <c r="A10" s="616">
        <v>2016</v>
      </c>
      <c r="B10" s="670">
        <v>1.0000000000000001E-5</v>
      </c>
      <c r="C10" s="670">
        <v>1.0000000000000001E-5</v>
      </c>
      <c r="D10" s="670">
        <v>0</v>
      </c>
      <c r="E10" s="670">
        <v>0</v>
      </c>
      <c r="F10" s="670">
        <v>0</v>
      </c>
      <c r="G10" s="670">
        <v>0</v>
      </c>
      <c r="H10" s="670">
        <v>0</v>
      </c>
    </row>
    <row r="11" spans="1:8" x14ac:dyDescent="0.5">
      <c r="A11" s="616">
        <v>2017</v>
      </c>
      <c r="B11" s="670">
        <v>0</v>
      </c>
      <c r="C11" s="670">
        <v>0</v>
      </c>
      <c r="D11" s="618">
        <v>0</v>
      </c>
      <c r="E11" s="618">
        <v>0</v>
      </c>
      <c r="F11" s="618">
        <v>0</v>
      </c>
      <c r="G11" s="618">
        <v>0</v>
      </c>
      <c r="H11" s="618">
        <v>1.0000000000000001E-5</v>
      </c>
    </row>
    <row r="12" spans="1:8" x14ac:dyDescent="0.5">
      <c r="A12" s="616">
        <v>2018</v>
      </c>
      <c r="B12" s="670">
        <v>0</v>
      </c>
      <c r="C12" s="670">
        <v>0</v>
      </c>
      <c r="D12" s="618">
        <v>0</v>
      </c>
      <c r="E12" s="618">
        <v>0</v>
      </c>
      <c r="F12" s="618">
        <v>0</v>
      </c>
      <c r="G12" s="618">
        <v>0</v>
      </c>
      <c r="H12" s="618">
        <v>1.0000000000000001E-5</v>
      </c>
    </row>
    <row r="13" spans="1:8" x14ac:dyDescent="0.5">
      <c r="A13" s="616"/>
      <c r="B13" s="671"/>
      <c r="C13" s="671"/>
      <c r="D13" s="616"/>
      <c r="E13" s="616"/>
      <c r="F13" s="616"/>
      <c r="G13" s="616"/>
      <c r="H13" s="67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J13"/>
  <sheetViews>
    <sheetView zoomScaleNormal="100" workbookViewId="0">
      <selection activeCell="B9" sqref="B9"/>
    </sheetView>
  </sheetViews>
  <sheetFormatPr defaultColWidth="8.87890625" defaultRowHeight="12.9" x14ac:dyDescent="0.5"/>
  <cols>
    <col min="1" max="10" width="15.76171875" style="583" customWidth="1"/>
    <col min="11" max="16384" width="8.87890625" style="583"/>
  </cols>
  <sheetData>
    <row r="1" spans="1:10" x14ac:dyDescent="0.5">
      <c r="A1" s="583" t="s">
        <v>82</v>
      </c>
      <c r="B1" s="583" t="s">
        <v>679</v>
      </c>
      <c r="C1" s="583" t="s">
        <v>681</v>
      </c>
      <c r="D1" s="583" t="s">
        <v>680</v>
      </c>
      <c r="E1" s="583" t="s">
        <v>664</v>
      </c>
      <c r="F1" s="583" t="s">
        <v>665</v>
      </c>
      <c r="G1" s="583" t="s">
        <v>666</v>
      </c>
      <c r="H1" s="583" t="s">
        <v>667</v>
      </c>
      <c r="I1" s="583" t="s">
        <v>669</v>
      </c>
      <c r="J1" s="583" t="s">
        <v>668</v>
      </c>
    </row>
    <row r="2" spans="1:10" x14ac:dyDescent="0.5">
      <c r="A2" s="583">
        <v>2008</v>
      </c>
      <c r="B2" s="578">
        <v>24060.474421000599</v>
      </c>
      <c r="C2" s="578">
        <v>523.52946343535314</v>
      </c>
      <c r="D2" s="578">
        <v>3285.8929297271138</v>
      </c>
      <c r="E2" s="579">
        <v>1.9E-2</v>
      </c>
      <c r="F2" s="579" t="s">
        <v>58</v>
      </c>
      <c r="G2" s="579">
        <v>0.11799999999999999</v>
      </c>
      <c r="H2" s="579">
        <v>2.1758900272490188E-2</v>
      </c>
      <c r="I2" s="579">
        <v>0.13656808557603095</v>
      </c>
      <c r="J2" s="579">
        <v>0.15832698584852115</v>
      </c>
    </row>
    <row r="3" spans="1:10" x14ac:dyDescent="0.5">
      <c r="A3" s="583">
        <v>2009</v>
      </c>
      <c r="B3" s="578">
        <v>20512.864400589708</v>
      </c>
      <c r="C3" s="578">
        <v>339.22710843552295</v>
      </c>
      <c r="D3" s="578">
        <v>1758.4590991494592</v>
      </c>
      <c r="E3" s="579">
        <v>1.9E-2</v>
      </c>
      <c r="F3" s="579" t="s">
        <v>58</v>
      </c>
      <c r="G3" s="579">
        <v>0.11799999999999999</v>
      </c>
      <c r="H3" s="579">
        <v>1.6537286154232597E-2</v>
      </c>
      <c r="I3" s="579">
        <v>8.5724697673081038E-2</v>
      </c>
      <c r="J3" s="579">
        <v>0.10226198382731364</v>
      </c>
    </row>
    <row r="4" spans="1:10" x14ac:dyDescent="0.5">
      <c r="A4" s="583">
        <v>2010</v>
      </c>
      <c r="B4" s="578">
        <v>34898.757430915713</v>
      </c>
      <c r="C4" s="578">
        <v>658.95746686748112</v>
      </c>
      <c r="D4" s="578">
        <v>5168.8473465182124</v>
      </c>
      <c r="E4" s="579">
        <v>2.1999999999999999E-2</v>
      </c>
      <c r="F4" s="579" t="s">
        <v>59</v>
      </c>
      <c r="G4" s="579">
        <v>0.13800000000000001</v>
      </c>
      <c r="H4" s="579">
        <v>1.8881975043722656E-2</v>
      </c>
      <c r="I4" s="579">
        <v>0.14810978175226641</v>
      </c>
      <c r="J4" s="579">
        <v>0.16699175679598907</v>
      </c>
    </row>
    <row r="5" spans="1:10" x14ac:dyDescent="0.5">
      <c r="A5" s="583">
        <v>2011</v>
      </c>
      <c r="B5" s="578">
        <v>30756.787062775849</v>
      </c>
      <c r="C5" s="578">
        <v>452.08420831098312</v>
      </c>
      <c r="D5" s="578">
        <v>2260.2901198198192</v>
      </c>
      <c r="E5" s="579">
        <v>0.02</v>
      </c>
      <c r="F5" s="579" t="s">
        <v>60</v>
      </c>
      <c r="G5" s="579">
        <v>0.128</v>
      </c>
      <c r="H5" s="579">
        <v>1.4698681217523173E-2</v>
      </c>
      <c r="I5" s="579">
        <v>7.3489149409737609E-2</v>
      </c>
      <c r="J5" s="579">
        <v>8.818783062726078E-2</v>
      </c>
    </row>
    <row r="6" spans="1:10" x14ac:dyDescent="0.5">
      <c r="A6" s="583">
        <v>2012</v>
      </c>
      <c r="B6" s="578">
        <v>35510.229556351005</v>
      </c>
      <c r="C6" s="578">
        <v>484.78228682450924</v>
      </c>
      <c r="D6" s="578">
        <v>3294.2333132231433</v>
      </c>
      <c r="E6" s="579">
        <v>1.9E-2</v>
      </c>
      <c r="F6" s="579" t="s">
        <v>58</v>
      </c>
      <c r="G6" s="579">
        <v>0.11799999999999999</v>
      </c>
      <c r="H6" s="579">
        <v>1.3651905180033001E-2</v>
      </c>
      <c r="I6" s="579">
        <v>9.276857272903688E-2</v>
      </c>
      <c r="J6" s="579">
        <v>0.10642047790906989</v>
      </c>
    </row>
    <row r="7" spans="1:10" x14ac:dyDescent="0.5">
      <c r="A7" s="583">
        <v>2013</v>
      </c>
      <c r="B7" s="578">
        <v>22480.743556653513</v>
      </c>
      <c r="C7" s="578">
        <v>311.14368764357664</v>
      </c>
      <c r="D7" s="578">
        <v>1757.0179891608714</v>
      </c>
      <c r="E7" s="579">
        <v>1.7000000000000001E-2</v>
      </c>
      <c r="F7" s="579" t="s">
        <v>61</v>
      </c>
      <c r="G7" s="579">
        <v>0.108</v>
      </c>
      <c r="H7" s="579">
        <v>1.384045358017035E-2</v>
      </c>
      <c r="I7" s="579">
        <v>7.8156578083506303E-2</v>
      </c>
      <c r="J7" s="579">
        <v>9.1997031663676648E-2</v>
      </c>
    </row>
    <row r="8" spans="1:10" x14ac:dyDescent="0.5">
      <c r="A8" s="583">
        <v>2014</v>
      </c>
      <c r="B8" s="578">
        <v>45992.539955461376</v>
      </c>
      <c r="C8" s="578">
        <v>780.19972591471037</v>
      </c>
      <c r="D8" s="578">
        <v>4973.3695845071416</v>
      </c>
      <c r="E8" s="579">
        <v>0.02</v>
      </c>
      <c r="F8" s="579" t="s">
        <v>60</v>
      </c>
      <c r="G8" s="579">
        <v>0.128</v>
      </c>
      <c r="H8" s="579">
        <v>1.6963614679038088E-2</v>
      </c>
      <c r="I8" s="579">
        <v>0.10813426675985481</v>
      </c>
      <c r="J8" s="579">
        <v>0.12509788143889289</v>
      </c>
    </row>
    <row r="9" spans="1:10" x14ac:dyDescent="0.5">
      <c r="A9" s="583">
        <v>2015</v>
      </c>
      <c r="B9" s="578">
        <v>30193.422685385245</v>
      </c>
      <c r="C9" s="578">
        <v>573.28302242863106</v>
      </c>
      <c r="D9" s="578">
        <v>3463.3297766595597</v>
      </c>
      <c r="E9" s="579">
        <v>2.1999999999999999E-2</v>
      </c>
      <c r="F9" s="579" t="s">
        <v>59</v>
      </c>
      <c r="G9" s="579">
        <v>0.13800000000000001</v>
      </c>
      <c r="H9" s="579">
        <v>1.8987016755345251E-2</v>
      </c>
      <c r="I9" s="579">
        <v>0.11470477569725614</v>
      </c>
      <c r="J9" s="579">
        <v>0.13369179245260138</v>
      </c>
    </row>
    <row r="10" spans="1:10" x14ac:dyDescent="0.5">
      <c r="A10" s="583">
        <v>2016</v>
      </c>
      <c r="B10" s="578">
        <v>23634.926143825243</v>
      </c>
      <c r="C10" s="578">
        <v>395.09982178806473</v>
      </c>
      <c r="D10" s="578">
        <v>2269.9671638109076</v>
      </c>
      <c r="E10" s="579">
        <v>1.9E-2</v>
      </c>
      <c r="F10" s="579" t="s">
        <v>58</v>
      </c>
      <c r="G10" s="579">
        <v>0.11799999999999999</v>
      </c>
      <c r="H10" s="579">
        <v>1.6716778355209152E-2</v>
      </c>
      <c r="I10" s="579">
        <v>9.6042913356170961E-2</v>
      </c>
      <c r="J10" s="579">
        <v>0.11275969171138012</v>
      </c>
    </row>
    <row r="11" spans="1:10" x14ac:dyDescent="0.5">
      <c r="A11" s="583">
        <v>2017</v>
      </c>
      <c r="B11" s="578">
        <v>7204.225788670009</v>
      </c>
      <c r="C11" s="578">
        <v>80.403900296161353</v>
      </c>
      <c r="D11" s="578">
        <v>539.52682880483485</v>
      </c>
      <c r="E11" s="579">
        <v>1.4999999999999999E-2</v>
      </c>
      <c r="F11" s="579" t="s">
        <v>62</v>
      </c>
      <c r="G11" s="579">
        <v>9.2999999999999999E-2</v>
      </c>
      <c r="H11" s="579">
        <v>1.1160658015828918E-2</v>
      </c>
      <c r="I11" s="579">
        <v>7.4890327514906818E-2</v>
      </c>
      <c r="J11" s="579">
        <v>8.605098553073573E-2</v>
      </c>
    </row>
    <row r="12" spans="1:10" x14ac:dyDescent="0.5">
      <c r="A12" s="583">
        <v>2018</v>
      </c>
      <c r="B12" s="578">
        <v>11338.788245829413</v>
      </c>
      <c r="C12" s="578">
        <v>134.38691453697243</v>
      </c>
      <c r="D12" s="578">
        <v>1132.1913425078894</v>
      </c>
      <c r="E12" s="579">
        <v>1.7000000000000001E-2</v>
      </c>
      <c r="F12" s="579" t="s">
        <v>61</v>
      </c>
      <c r="G12" s="579">
        <v>0.108</v>
      </c>
      <c r="H12" s="579">
        <v>1.185196439190952E-2</v>
      </c>
      <c r="I12" s="579">
        <v>9.9851176154059265E-2</v>
      </c>
      <c r="J12" s="579">
        <v>0.11170314054596879</v>
      </c>
    </row>
    <row r="13" spans="1:10" x14ac:dyDescent="0.5">
      <c r="B13" s="578"/>
      <c r="C13" s="578"/>
      <c r="D13" s="578"/>
      <c r="E13" s="579"/>
      <c r="F13" s="579"/>
      <c r="G13" s="579"/>
      <c r="H13" s="579"/>
      <c r="I13" s="579"/>
      <c r="J13" s="579"/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rgb="FF00B050"/>
  </sheetPr>
  <dimension ref="A1:I11"/>
  <sheetViews>
    <sheetView workbookViewId="0"/>
  </sheetViews>
  <sheetFormatPr defaultColWidth="8.87890625" defaultRowHeight="12.9" x14ac:dyDescent="0.5"/>
  <cols>
    <col min="1" max="9" width="10.76171875" style="668" customWidth="1"/>
    <col min="10" max="16384" width="8.87890625" style="668"/>
  </cols>
  <sheetData>
    <row r="1" spans="1:9" x14ac:dyDescent="0.5">
      <c r="A1" s="668" t="s">
        <v>780</v>
      </c>
      <c r="B1" s="616" t="s">
        <v>958</v>
      </c>
      <c r="C1" s="616" t="s">
        <v>959</v>
      </c>
      <c r="D1" s="635" t="s">
        <v>960</v>
      </c>
      <c r="E1" s="616" t="s">
        <v>961</v>
      </c>
      <c r="F1" s="616" t="s">
        <v>962</v>
      </c>
      <c r="G1" s="616" t="s">
        <v>963</v>
      </c>
      <c r="H1" s="616" t="s">
        <v>964</v>
      </c>
      <c r="I1" s="635" t="s">
        <v>965</v>
      </c>
    </row>
    <row r="2" spans="1:9" x14ac:dyDescent="0.5">
      <c r="A2" s="668" t="s">
        <v>309</v>
      </c>
      <c r="B2" s="670">
        <v>0</v>
      </c>
      <c r="C2" s="670">
        <v>0</v>
      </c>
      <c r="D2" s="670">
        <v>0</v>
      </c>
      <c r="E2" s="670">
        <v>0</v>
      </c>
      <c r="F2" s="670">
        <v>0</v>
      </c>
      <c r="G2" s="670">
        <v>0</v>
      </c>
      <c r="H2" s="670">
        <v>0</v>
      </c>
      <c r="I2" s="670">
        <v>0</v>
      </c>
    </row>
    <row r="3" spans="1:9" x14ac:dyDescent="0.5">
      <c r="A3" s="668" t="s">
        <v>310</v>
      </c>
      <c r="B3" s="670">
        <v>0</v>
      </c>
      <c r="C3" s="670">
        <v>0</v>
      </c>
      <c r="D3" s="670">
        <v>0</v>
      </c>
      <c r="E3" s="670">
        <v>0</v>
      </c>
      <c r="F3" s="670">
        <v>0</v>
      </c>
      <c r="G3" s="670">
        <v>0</v>
      </c>
      <c r="H3" s="670">
        <v>0</v>
      </c>
      <c r="I3" s="670">
        <v>0</v>
      </c>
    </row>
    <row r="4" spans="1:9" x14ac:dyDescent="0.5">
      <c r="A4" s="668" t="s">
        <v>311</v>
      </c>
      <c r="B4" s="670">
        <v>0</v>
      </c>
      <c r="C4" s="670">
        <v>0</v>
      </c>
      <c r="D4" s="670">
        <v>0</v>
      </c>
      <c r="E4" s="670">
        <v>0</v>
      </c>
      <c r="F4" s="670">
        <v>0</v>
      </c>
      <c r="G4" s="670">
        <v>0</v>
      </c>
      <c r="H4" s="670">
        <v>0</v>
      </c>
      <c r="I4" s="670">
        <v>0</v>
      </c>
    </row>
    <row r="5" spans="1:9" x14ac:dyDescent="0.5">
      <c r="A5" s="668" t="s">
        <v>312</v>
      </c>
      <c r="B5" s="670">
        <v>0</v>
      </c>
      <c r="C5" s="670">
        <v>0</v>
      </c>
      <c r="D5" s="670">
        <v>0</v>
      </c>
      <c r="E5" s="670">
        <v>0</v>
      </c>
      <c r="F5" s="670">
        <v>0</v>
      </c>
      <c r="G5" s="670">
        <v>0</v>
      </c>
      <c r="H5" s="670">
        <v>0</v>
      </c>
      <c r="I5" s="670">
        <v>0</v>
      </c>
    </row>
    <row r="6" spans="1:9" x14ac:dyDescent="0.5">
      <c r="A6" s="668" t="s">
        <v>313</v>
      </c>
      <c r="B6" s="670">
        <v>0</v>
      </c>
      <c r="C6" s="670">
        <v>0</v>
      </c>
      <c r="D6" s="670">
        <v>0</v>
      </c>
      <c r="E6" s="670">
        <v>0</v>
      </c>
      <c r="F6" s="670">
        <v>0</v>
      </c>
      <c r="G6" s="670">
        <v>0</v>
      </c>
      <c r="H6" s="670">
        <v>0</v>
      </c>
      <c r="I6" s="670">
        <v>0</v>
      </c>
    </row>
    <row r="7" spans="1:9" x14ac:dyDescent="0.5">
      <c r="A7" s="668" t="s">
        <v>314</v>
      </c>
      <c r="B7" s="670">
        <v>0</v>
      </c>
      <c r="C7" s="670">
        <v>0</v>
      </c>
      <c r="D7" s="670">
        <v>0</v>
      </c>
      <c r="E7" s="670">
        <v>0</v>
      </c>
      <c r="F7" s="670">
        <v>0</v>
      </c>
      <c r="G7" s="670">
        <v>0</v>
      </c>
      <c r="H7" s="670">
        <v>0</v>
      </c>
      <c r="I7" s="670">
        <v>0</v>
      </c>
    </row>
    <row r="8" spans="1:9" x14ac:dyDescent="0.5">
      <c r="A8" s="668" t="s">
        <v>315</v>
      </c>
      <c r="B8" s="670">
        <v>0</v>
      </c>
      <c r="C8" s="670">
        <v>0</v>
      </c>
      <c r="D8" s="670">
        <v>0</v>
      </c>
      <c r="E8" s="670">
        <v>0</v>
      </c>
      <c r="F8" s="670">
        <v>0</v>
      </c>
      <c r="G8" s="670">
        <v>0</v>
      </c>
      <c r="H8" s="670">
        <v>0</v>
      </c>
      <c r="I8" s="670">
        <v>0</v>
      </c>
    </row>
    <row r="9" spans="1:9" x14ac:dyDescent="0.5">
      <c r="A9" s="668" t="s">
        <v>316</v>
      </c>
      <c r="B9" s="670">
        <v>0</v>
      </c>
      <c r="C9" s="670">
        <v>0</v>
      </c>
      <c r="D9" s="670">
        <v>0</v>
      </c>
      <c r="E9" s="670">
        <v>0</v>
      </c>
      <c r="F9" s="670">
        <v>0</v>
      </c>
      <c r="G9" s="670">
        <v>0</v>
      </c>
      <c r="H9" s="670">
        <v>0</v>
      </c>
      <c r="I9" s="670">
        <v>0</v>
      </c>
    </row>
    <row r="10" spans="1:9" x14ac:dyDescent="0.5">
      <c r="A10" s="668" t="s">
        <v>317</v>
      </c>
      <c r="B10" s="670">
        <v>1.0000000000000001E-5</v>
      </c>
      <c r="C10" s="670">
        <v>1.0000000000000001E-5</v>
      </c>
      <c r="D10" s="670">
        <v>1.0000000000000001E-5</v>
      </c>
      <c r="E10" s="670">
        <v>0</v>
      </c>
      <c r="F10" s="670">
        <v>1.0000000000000001E-5</v>
      </c>
      <c r="G10" s="670">
        <v>0</v>
      </c>
      <c r="H10" s="670">
        <v>0</v>
      </c>
      <c r="I10" s="670">
        <v>0</v>
      </c>
    </row>
    <row r="11" spans="1:9" x14ac:dyDescent="0.5">
      <c r="A11" s="668" t="s">
        <v>318</v>
      </c>
      <c r="B11" s="670">
        <v>0</v>
      </c>
      <c r="C11" s="670">
        <v>0</v>
      </c>
      <c r="D11" s="670">
        <v>0</v>
      </c>
      <c r="E11" s="670">
        <v>0</v>
      </c>
      <c r="F11" s="670">
        <v>0</v>
      </c>
      <c r="G11" s="670">
        <v>0</v>
      </c>
      <c r="H11" s="670">
        <v>0</v>
      </c>
      <c r="I11" s="670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tabColor rgb="FF00B050"/>
  </sheetPr>
  <dimension ref="A1:F13"/>
  <sheetViews>
    <sheetView workbookViewId="0">
      <selection sqref="A1:F1"/>
    </sheetView>
  </sheetViews>
  <sheetFormatPr defaultColWidth="8.87890625" defaultRowHeight="12.9" x14ac:dyDescent="0.5"/>
  <cols>
    <col min="1" max="6" width="10.76171875" style="669" customWidth="1"/>
    <col min="7" max="16384" width="8.87890625" style="669"/>
  </cols>
  <sheetData>
    <row r="1" spans="1:6" x14ac:dyDescent="0.5">
      <c r="A1" s="616" t="s">
        <v>82</v>
      </c>
      <c r="B1" s="616" t="s">
        <v>966</v>
      </c>
      <c r="C1" s="616" t="s">
        <v>967</v>
      </c>
      <c r="D1" s="616" t="s">
        <v>968</v>
      </c>
      <c r="E1" s="616" t="s">
        <v>969</v>
      </c>
      <c r="F1" s="616" t="s">
        <v>970</v>
      </c>
    </row>
    <row r="2" spans="1:6" x14ac:dyDescent="0.5">
      <c r="A2" s="645">
        <v>2008</v>
      </c>
      <c r="B2" s="618">
        <v>0</v>
      </c>
      <c r="C2" s="618">
        <v>0</v>
      </c>
      <c r="D2" s="618">
        <v>0</v>
      </c>
      <c r="E2" s="618">
        <v>0</v>
      </c>
      <c r="F2" s="618">
        <v>0</v>
      </c>
    </row>
    <row r="3" spans="1:6" x14ac:dyDescent="0.5">
      <c r="A3" s="645">
        <v>2009</v>
      </c>
      <c r="B3" s="618">
        <v>0</v>
      </c>
      <c r="C3" s="618">
        <v>0</v>
      </c>
      <c r="D3" s="618">
        <v>0</v>
      </c>
      <c r="E3" s="618">
        <v>0</v>
      </c>
      <c r="F3" s="618">
        <v>0</v>
      </c>
    </row>
    <row r="4" spans="1:6" x14ac:dyDescent="0.5">
      <c r="A4" s="645">
        <v>2010</v>
      </c>
      <c r="B4" s="618">
        <v>0</v>
      </c>
      <c r="C4" s="618">
        <v>0</v>
      </c>
      <c r="D4" s="618">
        <v>0</v>
      </c>
      <c r="E4" s="618">
        <v>0</v>
      </c>
      <c r="F4" s="618">
        <v>0</v>
      </c>
    </row>
    <row r="5" spans="1:6" x14ac:dyDescent="0.5">
      <c r="A5" s="645">
        <v>2011</v>
      </c>
      <c r="B5" s="618">
        <v>0</v>
      </c>
      <c r="C5" s="618">
        <v>0</v>
      </c>
      <c r="D5" s="618">
        <v>1.0000000000000001E-5</v>
      </c>
      <c r="E5" s="618">
        <v>0</v>
      </c>
      <c r="F5" s="618">
        <v>0</v>
      </c>
    </row>
    <row r="6" spans="1:6" x14ac:dyDescent="0.5">
      <c r="A6" s="645">
        <v>2012</v>
      </c>
      <c r="B6" s="618">
        <v>0</v>
      </c>
      <c r="C6" s="618">
        <v>0</v>
      </c>
      <c r="D6" s="618">
        <v>0</v>
      </c>
      <c r="E6" s="618">
        <v>0</v>
      </c>
      <c r="F6" s="618">
        <v>0</v>
      </c>
    </row>
    <row r="7" spans="1:6" x14ac:dyDescent="0.5">
      <c r="A7" s="645">
        <v>2013</v>
      </c>
      <c r="B7" s="618">
        <v>0</v>
      </c>
      <c r="C7" s="618">
        <v>0</v>
      </c>
      <c r="D7" s="618">
        <v>2.0000000000000002E-5</v>
      </c>
      <c r="E7" s="618">
        <v>0</v>
      </c>
      <c r="F7" s="618">
        <v>0</v>
      </c>
    </row>
    <row r="8" spans="1:6" x14ac:dyDescent="0.5">
      <c r="A8" s="645">
        <v>2014</v>
      </c>
      <c r="B8" s="618">
        <v>0</v>
      </c>
      <c r="C8" s="618">
        <v>0</v>
      </c>
      <c r="D8" s="618">
        <v>1.0000000000000001E-5</v>
      </c>
      <c r="E8" s="618">
        <v>0</v>
      </c>
      <c r="F8" s="618">
        <v>0</v>
      </c>
    </row>
    <row r="9" spans="1:6" x14ac:dyDescent="0.5">
      <c r="A9" s="645">
        <v>2015</v>
      </c>
      <c r="B9" s="618">
        <v>0</v>
      </c>
      <c r="C9" s="618">
        <v>0</v>
      </c>
      <c r="D9" s="618">
        <v>0</v>
      </c>
      <c r="E9" s="618">
        <v>0</v>
      </c>
      <c r="F9" s="618">
        <v>0</v>
      </c>
    </row>
    <row r="10" spans="1:6" x14ac:dyDescent="0.5">
      <c r="A10" s="645">
        <v>2016</v>
      </c>
      <c r="B10" s="618">
        <v>0</v>
      </c>
      <c r="C10" s="618">
        <v>0</v>
      </c>
      <c r="D10" s="618">
        <v>0</v>
      </c>
      <c r="E10" s="618">
        <v>0</v>
      </c>
      <c r="F10" s="618">
        <v>0</v>
      </c>
    </row>
    <row r="11" spans="1:6" x14ac:dyDescent="0.5">
      <c r="A11" s="645">
        <v>2017</v>
      </c>
      <c r="B11" s="618">
        <v>0</v>
      </c>
      <c r="C11" s="618">
        <v>0</v>
      </c>
      <c r="D11" s="618">
        <v>3.0000000000000001E-5</v>
      </c>
      <c r="E11" s="618">
        <v>0</v>
      </c>
      <c r="F11" s="618">
        <v>0</v>
      </c>
    </row>
    <row r="12" spans="1:6" x14ac:dyDescent="0.5">
      <c r="A12" s="645">
        <v>2018</v>
      </c>
      <c r="B12" s="618">
        <v>0</v>
      </c>
      <c r="C12" s="618">
        <v>0</v>
      </c>
      <c r="D12" s="618">
        <v>3.0000000000000001E-5</v>
      </c>
      <c r="E12" s="618">
        <v>0</v>
      </c>
      <c r="F12" s="618">
        <v>0</v>
      </c>
    </row>
    <row r="13" spans="1:6" x14ac:dyDescent="0.5">
      <c r="A13" s="616"/>
      <c r="B13" s="616"/>
      <c r="C13" s="616"/>
      <c r="D13" s="672"/>
      <c r="E13" s="616"/>
      <c r="F13" s="616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tabColor rgb="FF00B050"/>
  </sheetPr>
  <dimension ref="A1:H13"/>
  <sheetViews>
    <sheetView workbookViewId="0">
      <selection sqref="A1:XFD1"/>
    </sheetView>
  </sheetViews>
  <sheetFormatPr defaultColWidth="8.87890625" defaultRowHeight="12.9" x14ac:dyDescent="0.5"/>
  <cols>
    <col min="1" max="8" width="10.76171875" style="669" customWidth="1"/>
    <col min="9" max="16384" width="8.87890625" style="669"/>
  </cols>
  <sheetData>
    <row r="1" spans="1:8" s="675" customFormat="1" ht="13.8" customHeight="1" x14ac:dyDescent="0.5">
      <c r="A1" s="616" t="s">
        <v>82</v>
      </c>
      <c r="B1" s="616" t="s">
        <v>951</v>
      </c>
      <c r="C1" s="616" t="s">
        <v>952</v>
      </c>
      <c r="D1" s="616" t="s">
        <v>953</v>
      </c>
      <c r="E1" s="616" t="s">
        <v>971</v>
      </c>
      <c r="F1" s="616" t="s">
        <v>955</v>
      </c>
      <c r="G1" s="616" t="s">
        <v>972</v>
      </c>
      <c r="H1" s="616" t="s">
        <v>973</v>
      </c>
    </row>
    <row r="2" spans="1:8" x14ac:dyDescent="0.5">
      <c r="A2" s="616">
        <v>2008</v>
      </c>
      <c r="B2" s="618">
        <v>1.4999999999999999E-4</v>
      </c>
      <c r="C2" s="618">
        <v>1.4999999999999999E-4</v>
      </c>
      <c r="D2" s="618">
        <v>6.0000000000000002E-5</v>
      </c>
      <c r="E2" s="618">
        <v>6.0000000000000002E-5</v>
      </c>
      <c r="F2" s="618">
        <v>0</v>
      </c>
      <c r="G2" s="618">
        <v>0</v>
      </c>
      <c r="H2" s="618">
        <v>0</v>
      </c>
    </row>
    <row r="3" spans="1:8" x14ac:dyDescent="0.5">
      <c r="A3" s="616">
        <v>2009</v>
      </c>
      <c r="B3" s="618">
        <v>1.4999999999999999E-4</v>
      </c>
      <c r="C3" s="618">
        <v>1.4999999999999999E-4</v>
      </c>
      <c r="D3" s="618">
        <v>1.1E-4</v>
      </c>
      <c r="E3" s="618">
        <v>1.1E-4</v>
      </c>
      <c r="F3" s="618">
        <v>0</v>
      </c>
      <c r="G3" s="618">
        <v>0</v>
      </c>
      <c r="H3" s="618">
        <v>0</v>
      </c>
    </row>
    <row r="4" spans="1:8" x14ac:dyDescent="0.5">
      <c r="A4" s="616">
        <v>2010</v>
      </c>
      <c r="B4" s="618">
        <v>1.9000000000000001E-4</v>
      </c>
      <c r="C4" s="618">
        <v>1.9000000000000001E-4</v>
      </c>
      <c r="D4" s="618">
        <v>2.1000000000000001E-4</v>
      </c>
      <c r="E4" s="618">
        <v>2.1000000000000001E-4</v>
      </c>
      <c r="F4" s="618">
        <v>0</v>
      </c>
      <c r="G4" s="618">
        <v>0</v>
      </c>
      <c r="H4" s="618">
        <v>0</v>
      </c>
    </row>
    <row r="5" spans="1:8" x14ac:dyDescent="0.5">
      <c r="A5" s="616">
        <v>2011</v>
      </c>
      <c r="B5" s="618">
        <v>1.9000000000000001E-4</v>
      </c>
      <c r="C5" s="618">
        <v>1.9000000000000001E-4</v>
      </c>
      <c r="D5" s="618">
        <v>2.7999999999999998E-4</v>
      </c>
      <c r="E5" s="618">
        <v>2.7999999999999998E-4</v>
      </c>
      <c r="F5" s="618">
        <v>0</v>
      </c>
      <c r="G5" s="618">
        <v>0</v>
      </c>
      <c r="H5" s="618">
        <v>0</v>
      </c>
    </row>
    <row r="6" spans="1:8" x14ac:dyDescent="0.5">
      <c r="A6" s="616">
        <v>2012</v>
      </c>
      <c r="B6" s="618">
        <v>1.7000000000000001E-4</v>
      </c>
      <c r="C6" s="618">
        <v>1.7000000000000001E-4</v>
      </c>
      <c r="D6" s="618">
        <v>3.4000000000000002E-4</v>
      </c>
      <c r="E6" s="618">
        <v>3.4000000000000002E-4</v>
      </c>
      <c r="F6" s="618">
        <v>0</v>
      </c>
      <c r="G6" s="618">
        <v>0</v>
      </c>
      <c r="H6" s="618">
        <v>0</v>
      </c>
    </row>
    <row r="7" spans="1:8" x14ac:dyDescent="0.5">
      <c r="A7" s="616">
        <v>2013</v>
      </c>
      <c r="B7" s="618">
        <v>6.9999999999999994E-5</v>
      </c>
      <c r="C7" s="618">
        <v>6.9999999999999994E-5</v>
      </c>
      <c r="D7" s="618">
        <v>8.0000000000000007E-5</v>
      </c>
      <c r="E7" s="618">
        <v>8.0000000000000007E-5</v>
      </c>
      <c r="F7" s="618">
        <v>0</v>
      </c>
      <c r="G7" s="618">
        <v>0</v>
      </c>
      <c r="H7" s="618">
        <v>0</v>
      </c>
    </row>
    <row r="8" spans="1:8" x14ac:dyDescent="0.5">
      <c r="A8" s="616">
        <v>2014</v>
      </c>
      <c r="B8" s="618">
        <v>8.0000000000000007E-5</v>
      </c>
      <c r="C8" s="618">
        <v>8.0000000000000007E-5</v>
      </c>
      <c r="D8" s="618">
        <v>2.3000000000000001E-4</v>
      </c>
      <c r="E8" s="618">
        <v>2.3000000000000001E-4</v>
      </c>
      <c r="F8" s="618">
        <v>0</v>
      </c>
      <c r="G8" s="618">
        <v>0</v>
      </c>
      <c r="H8" s="618">
        <v>0</v>
      </c>
    </row>
    <row r="9" spans="1:8" x14ac:dyDescent="0.5">
      <c r="A9" s="616">
        <v>2015</v>
      </c>
      <c r="B9" s="618">
        <v>4.0000000000000003E-5</v>
      </c>
      <c r="C9" s="618">
        <v>4.0000000000000003E-5</v>
      </c>
      <c r="D9" s="618">
        <v>6.0000000000000002E-5</v>
      </c>
      <c r="E9" s="618">
        <v>6.0000000000000002E-5</v>
      </c>
      <c r="F9" s="618">
        <v>0</v>
      </c>
      <c r="G9" s="618">
        <v>0</v>
      </c>
      <c r="H9" s="618">
        <v>0</v>
      </c>
    </row>
    <row r="10" spans="1:8" x14ac:dyDescent="0.5">
      <c r="A10" s="616">
        <v>2016</v>
      </c>
      <c r="B10" s="618">
        <v>6.0000000000000002E-5</v>
      </c>
      <c r="C10" s="618">
        <v>6.0000000000000002E-5</v>
      </c>
      <c r="D10" s="618">
        <v>8.0000000000000007E-5</v>
      </c>
      <c r="E10" s="618">
        <v>8.0000000000000007E-5</v>
      </c>
      <c r="F10" s="618">
        <v>0</v>
      </c>
      <c r="G10" s="618">
        <v>0</v>
      </c>
      <c r="H10" s="618">
        <v>0</v>
      </c>
    </row>
    <row r="11" spans="1:8" x14ac:dyDescent="0.5">
      <c r="A11" s="616">
        <v>2017</v>
      </c>
      <c r="B11" s="618">
        <v>2.5000000000000001E-4</v>
      </c>
      <c r="C11" s="618">
        <v>2.5000000000000001E-4</v>
      </c>
      <c r="D11" s="618">
        <v>1.6000000000000001E-4</v>
      </c>
      <c r="E11" s="618">
        <v>1.6000000000000001E-4</v>
      </c>
      <c r="F11" s="618">
        <v>0</v>
      </c>
      <c r="G11" s="618">
        <v>0</v>
      </c>
      <c r="H11" s="618">
        <v>0</v>
      </c>
    </row>
    <row r="12" spans="1:8" x14ac:dyDescent="0.5">
      <c r="A12" s="616">
        <v>2018</v>
      </c>
      <c r="B12" s="618">
        <v>3.6833974757887871E-4</v>
      </c>
      <c r="C12" s="618">
        <v>3.683629693164657E-4</v>
      </c>
      <c r="D12" s="618">
        <v>6.2581039755351677E-4</v>
      </c>
      <c r="E12" s="618">
        <v>6.2581039755351677E-4</v>
      </c>
      <c r="F12" s="618">
        <v>0</v>
      </c>
      <c r="G12" s="618">
        <v>0</v>
      </c>
      <c r="H12" s="618">
        <v>0</v>
      </c>
    </row>
    <row r="13" spans="1:8" x14ac:dyDescent="0.5">
      <c r="A13" s="616"/>
      <c r="B13" s="672"/>
      <c r="C13" s="672"/>
      <c r="D13" s="672"/>
      <c r="E13" s="672"/>
      <c r="F13" s="616"/>
      <c r="G13" s="616"/>
      <c r="H13" s="61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tabColor rgb="FF00B050"/>
  </sheetPr>
  <dimension ref="A1:I12"/>
  <sheetViews>
    <sheetView workbookViewId="0">
      <selection sqref="A1:I1"/>
    </sheetView>
  </sheetViews>
  <sheetFormatPr defaultColWidth="8.87890625" defaultRowHeight="12.9" x14ac:dyDescent="0.5"/>
  <cols>
    <col min="1" max="9" width="10.76171875" style="669" customWidth="1"/>
    <col min="10" max="16384" width="8.87890625" style="614"/>
  </cols>
  <sheetData>
    <row r="1" spans="1:9" x14ac:dyDescent="0.5">
      <c r="A1" s="616" t="s">
        <v>780</v>
      </c>
      <c r="B1" s="616" t="s">
        <v>958</v>
      </c>
      <c r="C1" s="616" t="s">
        <v>959</v>
      </c>
      <c r="D1" s="635" t="s">
        <v>960</v>
      </c>
      <c r="E1" s="616" t="s">
        <v>961</v>
      </c>
      <c r="F1" s="616" t="s">
        <v>962</v>
      </c>
      <c r="G1" s="616" t="s">
        <v>963</v>
      </c>
      <c r="H1" s="616" t="s">
        <v>964</v>
      </c>
      <c r="I1" s="635" t="s">
        <v>965</v>
      </c>
    </row>
    <row r="2" spans="1:9" x14ac:dyDescent="0.5">
      <c r="A2" s="616" t="s">
        <v>309</v>
      </c>
      <c r="B2" s="670">
        <v>0</v>
      </c>
      <c r="C2" s="670">
        <v>0</v>
      </c>
      <c r="D2" s="670">
        <v>0</v>
      </c>
      <c r="E2" s="670">
        <v>0</v>
      </c>
      <c r="F2" s="670">
        <v>0</v>
      </c>
      <c r="G2" s="670">
        <v>1.9000000000000001E-4</v>
      </c>
      <c r="H2" s="670">
        <v>0</v>
      </c>
      <c r="I2" s="670">
        <v>1.9000000000000001E-4</v>
      </c>
    </row>
    <row r="3" spans="1:9" x14ac:dyDescent="0.5">
      <c r="A3" s="616" t="s">
        <v>310</v>
      </c>
      <c r="B3" s="670">
        <v>0</v>
      </c>
      <c r="C3" s="670">
        <v>0</v>
      </c>
      <c r="D3" s="670">
        <v>0</v>
      </c>
      <c r="E3" s="670">
        <v>0</v>
      </c>
      <c r="F3" s="670">
        <v>0</v>
      </c>
      <c r="G3" s="670">
        <v>2.9E-4</v>
      </c>
      <c r="H3" s="670">
        <v>0</v>
      </c>
      <c r="I3" s="670">
        <v>2.9E-4</v>
      </c>
    </row>
    <row r="4" spans="1:9" x14ac:dyDescent="0.5">
      <c r="A4" s="616" t="s">
        <v>311</v>
      </c>
      <c r="B4" s="670">
        <v>0</v>
      </c>
      <c r="C4" s="670">
        <v>0</v>
      </c>
      <c r="D4" s="670">
        <v>0</v>
      </c>
      <c r="E4" s="670">
        <v>0</v>
      </c>
      <c r="F4" s="670">
        <v>0</v>
      </c>
      <c r="G4" s="670">
        <v>4.8999999999999998E-4</v>
      </c>
      <c r="H4" s="670">
        <v>1.0000000000000001E-5</v>
      </c>
      <c r="I4" s="670">
        <v>4.8999999999999998E-4</v>
      </c>
    </row>
    <row r="5" spans="1:9" x14ac:dyDescent="0.5">
      <c r="A5" s="616" t="s">
        <v>312</v>
      </c>
      <c r="B5" s="670">
        <v>0</v>
      </c>
      <c r="C5" s="670">
        <v>0</v>
      </c>
      <c r="D5" s="670">
        <v>0</v>
      </c>
      <c r="E5" s="670">
        <v>0</v>
      </c>
      <c r="F5" s="670">
        <v>0</v>
      </c>
      <c r="G5" s="670">
        <v>1.17E-3</v>
      </c>
      <c r="H5" s="670">
        <v>0</v>
      </c>
      <c r="I5" s="670">
        <v>1.17E-3</v>
      </c>
    </row>
    <row r="6" spans="1:9" x14ac:dyDescent="0.5">
      <c r="A6" s="616" t="s">
        <v>313</v>
      </c>
      <c r="B6" s="670">
        <v>0</v>
      </c>
      <c r="C6" s="670">
        <v>0</v>
      </c>
      <c r="D6" s="670">
        <v>0</v>
      </c>
      <c r="E6" s="670">
        <v>0</v>
      </c>
      <c r="F6" s="670">
        <v>0</v>
      </c>
      <c r="G6" s="670">
        <v>2.7999999999999998E-4</v>
      </c>
      <c r="H6" s="670">
        <v>0</v>
      </c>
      <c r="I6" s="670">
        <v>2.7999999999999998E-4</v>
      </c>
    </row>
    <row r="7" spans="1:9" x14ac:dyDescent="0.5">
      <c r="A7" s="616" t="s">
        <v>314</v>
      </c>
      <c r="B7" s="670">
        <v>0</v>
      </c>
      <c r="C7" s="670">
        <v>0</v>
      </c>
      <c r="D7" s="670">
        <v>0</v>
      </c>
      <c r="E7" s="670">
        <v>0</v>
      </c>
      <c r="F7" s="670">
        <v>0</v>
      </c>
      <c r="G7" s="670">
        <v>5.0000000000000001E-4</v>
      </c>
      <c r="H7" s="670">
        <v>0</v>
      </c>
      <c r="I7" s="670">
        <v>5.0000000000000001E-4</v>
      </c>
    </row>
    <row r="8" spans="1:9" x14ac:dyDescent="0.5">
      <c r="A8" s="616" t="s">
        <v>315</v>
      </c>
      <c r="B8" s="670">
        <v>0</v>
      </c>
      <c r="C8" s="670">
        <v>0</v>
      </c>
      <c r="D8" s="670">
        <v>0</v>
      </c>
      <c r="E8" s="670">
        <v>0</v>
      </c>
      <c r="F8" s="670">
        <v>0</v>
      </c>
      <c r="G8" s="670">
        <v>3.8000000000000002E-4</v>
      </c>
      <c r="H8" s="670">
        <v>0</v>
      </c>
      <c r="I8" s="670">
        <v>3.8000000000000002E-4</v>
      </c>
    </row>
    <row r="9" spans="1:9" x14ac:dyDescent="0.5">
      <c r="A9" s="616" t="s">
        <v>316</v>
      </c>
      <c r="B9" s="670">
        <v>0</v>
      </c>
      <c r="C9" s="670">
        <v>0</v>
      </c>
      <c r="D9" s="670">
        <v>0</v>
      </c>
      <c r="E9" s="670">
        <v>0</v>
      </c>
      <c r="F9" s="670">
        <v>0</v>
      </c>
      <c r="G9" s="670">
        <v>1.8000000000000001E-4</v>
      </c>
      <c r="H9" s="670">
        <v>0</v>
      </c>
      <c r="I9" s="670">
        <v>1.8000000000000001E-4</v>
      </c>
    </row>
    <row r="10" spans="1:9" x14ac:dyDescent="0.5">
      <c r="A10" s="616" t="s">
        <v>317</v>
      </c>
      <c r="B10" s="670">
        <v>0</v>
      </c>
      <c r="C10" s="670">
        <v>0</v>
      </c>
      <c r="D10" s="670">
        <v>0</v>
      </c>
      <c r="E10" s="670">
        <v>0</v>
      </c>
      <c r="F10" s="670">
        <v>0</v>
      </c>
      <c r="G10" s="670">
        <v>3.8999999999999999E-4</v>
      </c>
      <c r="H10" s="670">
        <v>0</v>
      </c>
      <c r="I10" s="670">
        <v>3.8999999999999999E-4</v>
      </c>
    </row>
    <row r="11" spans="1:9" x14ac:dyDescent="0.5">
      <c r="A11" s="616" t="s">
        <v>318</v>
      </c>
      <c r="B11" s="670">
        <v>0</v>
      </c>
      <c r="C11" s="670">
        <v>0</v>
      </c>
      <c r="D11" s="670">
        <v>0</v>
      </c>
      <c r="E11" s="670">
        <v>0</v>
      </c>
      <c r="F11" s="670">
        <v>0</v>
      </c>
      <c r="G11" s="670"/>
      <c r="H11" s="670">
        <v>0</v>
      </c>
      <c r="I11" s="670"/>
    </row>
    <row r="12" spans="1:9" x14ac:dyDescent="0.5">
      <c r="A12" s="616" t="s">
        <v>326</v>
      </c>
      <c r="B12" s="670">
        <v>0</v>
      </c>
      <c r="C12" s="670">
        <v>0</v>
      </c>
      <c r="D12" s="670">
        <v>0</v>
      </c>
      <c r="E12" s="670">
        <v>0</v>
      </c>
      <c r="F12" s="670">
        <v>0</v>
      </c>
      <c r="G12" s="674">
        <v>1.0774529718272541E-3</v>
      </c>
      <c r="H12" s="670">
        <v>0</v>
      </c>
      <c r="I12" s="670">
        <v>1.0774529718272541E-3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tabColor rgb="FF00B050"/>
  </sheetPr>
  <dimension ref="A1:F12"/>
  <sheetViews>
    <sheetView workbookViewId="0">
      <selection sqref="A1:F1"/>
    </sheetView>
  </sheetViews>
  <sheetFormatPr defaultColWidth="8.87890625" defaultRowHeight="12.9" x14ac:dyDescent="0.5"/>
  <cols>
    <col min="1" max="6" width="10.76171875" style="669" customWidth="1"/>
    <col min="7" max="16384" width="8.87890625" style="669"/>
  </cols>
  <sheetData>
    <row r="1" spans="1:6" x14ac:dyDescent="0.5">
      <c r="A1" s="616" t="s">
        <v>82</v>
      </c>
      <c r="B1" s="635" t="s">
        <v>966</v>
      </c>
      <c r="C1" s="635" t="s">
        <v>967</v>
      </c>
      <c r="D1" s="635" t="s">
        <v>968</v>
      </c>
      <c r="E1" s="635" t="s">
        <v>969</v>
      </c>
      <c r="F1" s="635" t="s">
        <v>970</v>
      </c>
    </row>
    <row r="2" spans="1:6" x14ac:dyDescent="0.5">
      <c r="A2" s="616">
        <v>2008</v>
      </c>
      <c r="B2" s="618">
        <v>0</v>
      </c>
      <c r="C2" s="618">
        <v>0</v>
      </c>
      <c r="D2" s="618">
        <v>0</v>
      </c>
      <c r="E2" s="618">
        <v>0</v>
      </c>
      <c r="F2" s="618">
        <v>0</v>
      </c>
    </row>
    <row r="3" spans="1:6" x14ac:dyDescent="0.5">
      <c r="A3" s="616">
        <v>2009</v>
      </c>
      <c r="B3" s="618">
        <v>0</v>
      </c>
      <c r="C3" s="618">
        <v>0</v>
      </c>
      <c r="D3" s="618">
        <v>0</v>
      </c>
      <c r="E3" s="618">
        <v>0</v>
      </c>
      <c r="F3" s="618">
        <v>0</v>
      </c>
    </row>
    <row r="4" spans="1:6" x14ac:dyDescent="0.5">
      <c r="A4" s="616">
        <v>2010</v>
      </c>
      <c r="B4" s="618">
        <v>0</v>
      </c>
      <c r="C4" s="618">
        <v>0</v>
      </c>
      <c r="D4" s="618">
        <v>0</v>
      </c>
      <c r="E4" s="618">
        <v>0</v>
      </c>
      <c r="F4" s="618">
        <v>0</v>
      </c>
    </row>
    <row r="5" spans="1:6" x14ac:dyDescent="0.5">
      <c r="A5" s="616">
        <v>2011</v>
      </c>
      <c r="B5" s="618">
        <v>0</v>
      </c>
      <c r="C5" s="618">
        <v>0</v>
      </c>
      <c r="D5" s="618">
        <v>0</v>
      </c>
      <c r="E5" s="618">
        <v>0</v>
      </c>
      <c r="F5" s="618">
        <v>0</v>
      </c>
    </row>
    <row r="6" spans="1:6" x14ac:dyDescent="0.5">
      <c r="A6" s="616">
        <v>2012</v>
      </c>
      <c r="B6" s="618">
        <v>0</v>
      </c>
      <c r="C6" s="618">
        <v>0</v>
      </c>
      <c r="D6" s="618">
        <v>0</v>
      </c>
      <c r="E6" s="618">
        <v>0</v>
      </c>
      <c r="F6" s="618">
        <v>0</v>
      </c>
    </row>
    <row r="7" spans="1:6" x14ac:dyDescent="0.5">
      <c r="A7" s="616">
        <v>2013</v>
      </c>
      <c r="B7" s="618">
        <v>0</v>
      </c>
      <c r="C7" s="618">
        <v>0</v>
      </c>
      <c r="D7" s="618">
        <v>0</v>
      </c>
      <c r="E7" s="618">
        <v>0</v>
      </c>
      <c r="F7" s="618">
        <v>0</v>
      </c>
    </row>
    <row r="8" spans="1:6" x14ac:dyDescent="0.5">
      <c r="A8" s="616">
        <v>2014</v>
      </c>
      <c r="B8" s="618">
        <v>0</v>
      </c>
      <c r="C8" s="618">
        <v>0</v>
      </c>
      <c r="D8" s="618">
        <v>0</v>
      </c>
      <c r="E8" s="618">
        <v>0</v>
      </c>
      <c r="F8" s="618">
        <v>0</v>
      </c>
    </row>
    <row r="9" spans="1:6" x14ac:dyDescent="0.5">
      <c r="A9" s="616">
        <v>2015</v>
      </c>
      <c r="B9" s="618">
        <v>0</v>
      </c>
      <c r="C9" s="618">
        <v>0</v>
      </c>
      <c r="D9" s="618">
        <v>0</v>
      </c>
      <c r="E9" s="618">
        <v>0</v>
      </c>
      <c r="F9" s="618">
        <v>0</v>
      </c>
    </row>
    <row r="10" spans="1:6" x14ac:dyDescent="0.5">
      <c r="A10" s="616">
        <v>2016</v>
      </c>
      <c r="B10" s="618">
        <v>0</v>
      </c>
      <c r="C10" s="618">
        <v>0</v>
      </c>
      <c r="D10" s="618">
        <v>0</v>
      </c>
      <c r="E10" s="618">
        <v>0</v>
      </c>
      <c r="F10" s="618">
        <v>0</v>
      </c>
    </row>
    <row r="11" spans="1:6" x14ac:dyDescent="0.5">
      <c r="A11" s="616">
        <v>2017</v>
      </c>
      <c r="B11" s="618">
        <v>0</v>
      </c>
      <c r="C11" s="618">
        <v>0</v>
      </c>
      <c r="D11" s="618">
        <v>0</v>
      </c>
      <c r="E11" s="618">
        <v>0</v>
      </c>
      <c r="F11" s="618">
        <v>0</v>
      </c>
    </row>
    <row r="12" spans="1:6" x14ac:dyDescent="0.5">
      <c r="A12" s="616">
        <v>2018</v>
      </c>
      <c r="B12" s="618">
        <v>0</v>
      </c>
      <c r="C12" s="618">
        <v>0</v>
      </c>
      <c r="D12" s="618">
        <v>0</v>
      </c>
      <c r="E12" s="618">
        <v>0</v>
      </c>
      <c r="F12" s="618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rgb="FF00B050"/>
  </sheetPr>
  <dimension ref="A1:H12"/>
  <sheetViews>
    <sheetView workbookViewId="0">
      <selection activeCell="D24" sqref="D24"/>
    </sheetView>
  </sheetViews>
  <sheetFormatPr defaultColWidth="8.87890625" defaultRowHeight="12.9" x14ac:dyDescent="0.5"/>
  <cols>
    <col min="1" max="8" width="10.76171875" style="673" customWidth="1"/>
    <col min="9" max="16384" width="8.87890625" style="673"/>
  </cols>
  <sheetData>
    <row r="1" spans="1:8" x14ac:dyDescent="0.5">
      <c r="A1" s="673" t="s">
        <v>82</v>
      </c>
      <c r="B1" s="673" t="s">
        <v>951</v>
      </c>
      <c r="C1" s="673" t="s">
        <v>952</v>
      </c>
      <c r="D1" s="673" t="s">
        <v>953</v>
      </c>
      <c r="E1" s="673" t="s">
        <v>954</v>
      </c>
      <c r="F1" s="673" t="s">
        <v>955</v>
      </c>
      <c r="G1" s="673" t="s">
        <v>956</v>
      </c>
      <c r="H1" s="673" t="s">
        <v>957</v>
      </c>
    </row>
    <row r="2" spans="1:8" x14ac:dyDescent="0.5">
      <c r="A2" s="673">
        <v>2008</v>
      </c>
      <c r="B2" s="676">
        <v>0</v>
      </c>
      <c r="C2" s="676">
        <v>0</v>
      </c>
      <c r="D2" s="676">
        <v>0</v>
      </c>
      <c r="E2" s="676">
        <v>0</v>
      </c>
      <c r="F2" s="676">
        <v>0</v>
      </c>
      <c r="G2" s="676">
        <v>0</v>
      </c>
      <c r="H2" s="676">
        <v>0</v>
      </c>
    </row>
    <row r="3" spans="1:8" x14ac:dyDescent="0.5">
      <c r="A3" s="673">
        <v>2009</v>
      </c>
      <c r="B3" s="676">
        <v>0</v>
      </c>
      <c r="C3" s="676">
        <v>0</v>
      </c>
      <c r="D3" s="676">
        <v>0</v>
      </c>
      <c r="E3" s="676">
        <v>0</v>
      </c>
      <c r="F3" s="676">
        <v>0</v>
      </c>
      <c r="G3" s="676">
        <v>0</v>
      </c>
      <c r="H3" s="676">
        <v>0</v>
      </c>
    </row>
    <row r="4" spans="1:8" x14ac:dyDescent="0.5">
      <c r="A4" s="673">
        <v>2010</v>
      </c>
      <c r="B4" s="676">
        <v>0</v>
      </c>
      <c r="C4" s="676">
        <v>0</v>
      </c>
      <c r="D4" s="676">
        <v>0</v>
      </c>
      <c r="E4" s="676">
        <v>0</v>
      </c>
      <c r="F4" s="676">
        <v>0</v>
      </c>
      <c r="G4" s="676">
        <v>0</v>
      </c>
      <c r="H4" s="676">
        <v>0</v>
      </c>
    </row>
    <row r="5" spans="1:8" x14ac:dyDescent="0.5">
      <c r="A5" s="673">
        <v>2011</v>
      </c>
      <c r="B5" s="676">
        <v>1E-4</v>
      </c>
      <c r="C5" s="676">
        <v>1E-4</v>
      </c>
      <c r="D5" s="676">
        <v>1E-4</v>
      </c>
      <c r="E5" s="676">
        <v>1E-4</v>
      </c>
      <c r="F5" s="676">
        <v>0</v>
      </c>
      <c r="G5" s="676">
        <v>0</v>
      </c>
      <c r="H5" s="676">
        <v>0</v>
      </c>
    </row>
    <row r="6" spans="1:8" x14ac:dyDescent="0.5">
      <c r="A6" s="673">
        <v>2012</v>
      </c>
      <c r="B6" s="676">
        <v>0</v>
      </c>
      <c r="C6" s="676">
        <v>0</v>
      </c>
      <c r="D6" s="676">
        <v>0</v>
      </c>
      <c r="E6" s="676">
        <v>0</v>
      </c>
      <c r="F6" s="676">
        <v>0</v>
      </c>
      <c r="G6" s="676">
        <v>0</v>
      </c>
      <c r="H6" s="676">
        <v>0</v>
      </c>
    </row>
    <row r="7" spans="1:8" x14ac:dyDescent="0.5">
      <c r="A7" s="673">
        <v>2013</v>
      </c>
      <c r="B7" s="676">
        <v>0</v>
      </c>
      <c r="C7" s="676">
        <v>0</v>
      </c>
      <c r="D7" s="676">
        <v>0</v>
      </c>
      <c r="E7" s="676">
        <v>0</v>
      </c>
      <c r="F7" s="676">
        <v>0</v>
      </c>
      <c r="G7" s="676">
        <v>0</v>
      </c>
      <c r="H7" s="676">
        <v>0</v>
      </c>
    </row>
    <row r="8" spans="1:8" x14ac:dyDescent="0.5">
      <c r="A8" s="673">
        <v>2014</v>
      </c>
      <c r="B8" s="676">
        <v>0</v>
      </c>
      <c r="C8" s="676">
        <v>0</v>
      </c>
      <c r="D8" s="676">
        <v>0</v>
      </c>
      <c r="E8" s="676">
        <v>0</v>
      </c>
      <c r="F8" s="676">
        <v>0</v>
      </c>
      <c r="G8" s="676">
        <v>0</v>
      </c>
      <c r="H8" s="676">
        <v>0</v>
      </c>
    </row>
    <row r="9" spans="1:8" x14ac:dyDescent="0.5">
      <c r="A9" s="673">
        <v>2015</v>
      </c>
      <c r="B9" s="676">
        <v>0</v>
      </c>
      <c r="C9" s="676">
        <v>0</v>
      </c>
      <c r="D9" s="676">
        <v>0</v>
      </c>
      <c r="E9" s="676">
        <v>0</v>
      </c>
      <c r="F9" s="676">
        <v>0</v>
      </c>
      <c r="G9" s="676">
        <v>0</v>
      </c>
      <c r="H9" s="676">
        <v>0</v>
      </c>
    </row>
    <row r="10" spans="1:8" x14ac:dyDescent="0.5">
      <c r="A10" s="673">
        <v>2016</v>
      </c>
      <c r="B10" s="676">
        <v>1E-4</v>
      </c>
      <c r="C10" s="676">
        <v>1E-4</v>
      </c>
      <c r="D10" s="676">
        <v>1E-4</v>
      </c>
      <c r="E10" s="676">
        <v>1E-4</v>
      </c>
      <c r="F10" s="676">
        <v>0</v>
      </c>
      <c r="G10" s="676">
        <v>0</v>
      </c>
      <c r="H10" s="676">
        <v>0</v>
      </c>
    </row>
    <row r="11" spans="1:8" x14ac:dyDescent="0.5">
      <c r="A11" s="673">
        <v>2017</v>
      </c>
      <c r="B11" s="676">
        <v>2.0000000000000001E-4</v>
      </c>
      <c r="C11" s="676">
        <v>2.0000000000000001E-4</v>
      </c>
      <c r="D11" s="676">
        <v>2.0000000000000001E-4</v>
      </c>
      <c r="E11" s="676">
        <v>2.0000000000000001E-4</v>
      </c>
      <c r="F11" s="676">
        <v>0</v>
      </c>
      <c r="G11" s="676">
        <v>0</v>
      </c>
      <c r="H11" s="676">
        <v>0</v>
      </c>
    </row>
    <row r="12" spans="1:8" x14ac:dyDescent="0.5">
      <c r="A12" s="673">
        <v>2018</v>
      </c>
      <c r="B12" s="676">
        <v>2.0000000000000001E-4</v>
      </c>
      <c r="C12" s="676">
        <v>2.0000000000000001E-4</v>
      </c>
      <c r="D12" s="676">
        <v>2.0000000000000001E-4</v>
      </c>
      <c r="E12" s="676">
        <v>2.0000000000000001E-4</v>
      </c>
      <c r="F12" s="676">
        <v>0</v>
      </c>
      <c r="G12" s="676">
        <v>0</v>
      </c>
      <c r="H12" s="676">
        <v>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rgb="FF00B050"/>
  </sheetPr>
  <dimension ref="A1:I12"/>
  <sheetViews>
    <sheetView workbookViewId="0">
      <selection activeCell="A2" sqref="A2:A11"/>
    </sheetView>
  </sheetViews>
  <sheetFormatPr defaultRowHeight="12.9" x14ac:dyDescent="0.5"/>
  <cols>
    <col min="1" max="9" width="10.64453125" style="675" customWidth="1"/>
    <col min="10" max="16384" width="8.9375" style="675"/>
  </cols>
  <sheetData>
    <row r="1" spans="1:9" x14ac:dyDescent="0.5">
      <c r="A1" s="675" t="s">
        <v>780</v>
      </c>
      <c r="B1" s="675" t="s">
        <v>958</v>
      </c>
      <c r="C1" s="675" t="s">
        <v>959</v>
      </c>
      <c r="D1" s="675" t="s">
        <v>960</v>
      </c>
      <c r="E1" s="675" t="s">
        <v>961</v>
      </c>
      <c r="F1" s="675" t="s">
        <v>962</v>
      </c>
      <c r="G1" s="675" t="s">
        <v>963</v>
      </c>
      <c r="H1" s="675" t="s">
        <v>964</v>
      </c>
      <c r="I1" s="675" t="s">
        <v>965</v>
      </c>
    </row>
    <row r="2" spans="1:9" x14ac:dyDescent="0.5">
      <c r="A2" s="616" t="s">
        <v>309</v>
      </c>
      <c r="B2" s="618">
        <v>0</v>
      </c>
      <c r="C2" s="618">
        <v>0</v>
      </c>
      <c r="D2" s="618">
        <v>0</v>
      </c>
      <c r="E2" s="618">
        <v>0</v>
      </c>
      <c r="F2" s="618">
        <v>0</v>
      </c>
      <c r="G2" s="618">
        <v>0</v>
      </c>
      <c r="H2" s="618">
        <v>0</v>
      </c>
      <c r="I2" s="618">
        <v>0</v>
      </c>
    </row>
    <row r="3" spans="1:9" x14ac:dyDescent="0.5">
      <c r="A3" s="616" t="s">
        <v>310</v>
      </c>
      <c r="B3" s="618">
        <v>0</v>
      </c>
      <c r="C3" s="618">
        <v>0</v>
      </c>
      <c r="D3" s="618">
        <v>0</v>
      </c>
      <c r="E3" s="618">
        <v>0</v>
      </c>
      <c r="F3" s="618">
        <v>0</v>
      </c>
      <c r="G3" s="618">
        <v>0</v>
      </c>
      <c r="H3" s="618">
        <v>0</v>
      </c>
      <c r="I3" s="618">
        <v>0</v>
      </c>
    </row>
    <row r="4" spans="1:9" x14ac:dyDescent="0.5">
      <c r="A4" s="616" t="s">
        <v>311</v>
      </c>
      <c r="B4" s="618">
        <v>0</v>
      </c>
      <c r="C4" s="618">
        <v>0</v>
      </c>
      <c r="D4" s="618">
        <v>0</v>
      </c>
      <c r="E4" s="618">
        <v>6.0000000000000002E-5</v>
      </c>
      <c r="F4" s="618">
        <v>0</v>
      </c>
      <c r="G4" s="618">
        <v>0</v>
      </c>
      <c r="H4" s="618">
        <v>1.0000000000000001E-5</v>
      </c>
      <c r="I4" s="618">
        <v>0</v>
      </c>
    </row>
    <row r="5" spans="1:9" x14ac:dyDescent="0.5">
      <c r="A5" s="616" t="s">
        <v>312</v>
      </c>
      <c r="B5" s="618">
        <v>0</v>
      </c>
      <c r="C5" s="618">
        <v>0</v>
      </c>
      <c r="D5" s="618">
        <v>0</v>
      </c>
      <c r="E5" s="618">
        <v>0</v>
      </c>
      <c r="F5" s="618">
        <v>0</v>
      </c>
      <c r="G5" s="618">
        <v>0</v>
      </c>
      <c r="H5" s="618">
        <v>2.0000000000000002E-5</v>
      </c>
      <c r="I5" s="618">
        <v>0</v>
      </c>
    </row>
    <row r="6" spans="1:9" x14ac:dyDescent="0.5">
      <c r="A6" s="616" t="s">
        <v>313</v>
      </c>
      <c r="B6" s="618">
        <v>1.0000000000000001E-5</v>
      </c>
      <c r="C6" s="618">
        <v>1.0000000000000001E-5</v>
      </c>
      <c r="D6" s="618">
        <v>1.0000000000000001E-5</v>
      </c>
      <c r="E6" s="618">
        <v>0</v>
      </c>
      <c r="F6" s="618">
        <v>1.0000000000000001E-5</v>
      </c>
      <c r="G6" s="618">
        <v>0</v>
      </c>
      <c r="H6" s="618">
        <v>4.0000000000000003E-5</v>
      </c>
      <c r="I6" s="618">
        <v>0</v>
      </c>
    </row>
    <row r="7" spans="1:9" x14ac:dyDescent="0.5">
      <c r="A7" s="616" t="s">
        <v>314</v>
      </c>
      <c r="B7" s="618">
        <v>0</v>
      </c>
      <c r="C7" s="618">
        <v>0</v>
      </c>
      <c r="D7" s="618">
        <v>0</v>
      </c>
      <c r="E7" s="618">
        <v>0</v>
      </c>
      <c r="F7" s="618">
        <v>0</v>
      </c>
      <c r="G7" s="618">
        <v>0</v>
      </c>
      <c r="H7" s="618">
        <v>1.0000000000000001E-5</v>
      </c>
      <c r="I7" s="618">
        <v>0</v>
      </c>
    </row>
    <row r="8" spans="1:9" x14ac:dyDescent="0.5">
      <c r="A8" s="616" t="s">
        <v>315</v>
      </c>
      <c r="B8" s="618">
        <v>0</v>
      </c>
      <c r="C8" s="618">
        <v>0</v>
      </c>
      <c r="D8" s="618">
        <v>0</v>
      </c>
      <c r="E8" s="618">
        <v>0</v>
      </c>
      <c r="F8" s="618">
        <v>0</v>
      </c>
      <c r="G8" s="618">
        <v>0</v>
      </c>
      <c r="H8" s="618">
        <v>0</v>
      </c>
      <c r="I8" s="618">
        <v>0</v>
      </c>
    </row>
    <row r="9" spans="1:9" x14ac:dyDescent="0.5">
      <c r="A9" s="616" t="s">
        <v>316</v>
      </c>
      <c r="B9" s="618">
        <v>0</v>
      </c>
      <c r="C9" s="618">
        <v>0</v>
      </c>
      <c r="D9" s="618">
        <v>0</v>
      </c>
      <c r="E9" s="618">
        <v>0</v>
      </c>
      <c r="F9" s="618">
        <v>0</v>
      </c>
      <c r="G9" s="618">
        <v>0</v>
      </c>
      <c r="H9" s="618">
        <v>0</v>
      </c>
      <c r="I9" s="618">
        <v>0</v>
      </c>
    </row>
    <row r="10" spans="1:9" x14ac:dyDescent="0.5">
      <c r="A10" s="616" t="s">
        <v>317</v>
      </c>
      <c r="B10" s="618">
        <v>0</v>
      </c>
      <c r="C10" s="618">
        <v>0</v>
      </c>
      <c r="D10" s="618">
        <v>0</v>
      </c>
      <c r="E10" s="618">
        <v>0</v>
      </c>
      <c r="F10" s="618">
        <v>0</v>
      </c>
      <c r="G10" s="618">
        <v>0</v>
      </c>
      <c r="H10" s="618">
        <v>0</v>
      </c>
      <c r="I10" s="618">
        <v>0</v>
      </c>
    </row>
    <row r="11" spans="1:9" x14ac:dyDescent="0.5">
      <c r="A11" s="616" t="s">
        <v>318</v>
      </c>
      <c r="B11" s="618">
        <v>0</v>
      </c>
      <c r="C11" s="618">
        <v>0</v>
      </c>
      <c r="D11" s="618">
        <v>0</v>
      </c>
      <c r="E11" s="618">
        <v>0</v>
      </c>
      <c r="F11" s="618">
        <v>0</v>
      </c>
      <c r="G11" s="618">
        <v>0</v>
      </c>
      <c r="H11" s="618">
        <v>0</v>
      </c>
      <c r="I11" s="618">
        <v>0</v>
      </c>
    </row>
    <row r="12" spans="1:9" x14ac:dyDescent="0.5">
      <c r="A12" s="643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rgb="FF00B050"/>
  </sheetPr>
  <dimension ref="A1:F13"/>
  <sheetViews>
    <sheetView workbookViewId="0">
      <selection sqref="A1:F1"/>
    </sheetView>
  </sheetViews>
  <sheetFormatPr defaultRowHeight="12.9" x14ac:dyDescent="0.5"/>
  <cols>
    <col min="1" max="16384" width="8.9375" style="675"/>
  </cols>
  <sheetData>
    <row r="1" spans="1:6" x14ac:dyDescent="0.5">
      <c r="A1" s="616" t="s">
        <v>82</v>
      </c>
      <c r="B1" s="635" t="s">
        <v>966</v>
      </c>
      <c r="C1" s="635" t="s">
        <v>967</v>
      </c>
      <c r="D1" s="635" t="s">
        <v>968</v>
      </c>
      <c r="E1" s="635" t="s">
        <v>969</v>
      </c>
      <c r="F1" s="635" t="s">
        <v>970</v>
      </c>
    </row>
    <row r="2" spans="1:6" x14ac:dyDescent="0.5">
      <c r="A2" s="616">
        <v>2008</v>
      </c>
      <c r="B2" s="618">
        <v>1.0000000000000001E-5</v>
      </c>
      <c r="C2" s="618">
        <v>0</v>
      </c>
      <c r="D2" s="618">
        <v>0</v>
      </c>
      <c r="E2" s="678">
        <v>0.1</v>
      </c>
      <c r="F2" s="618">
        <v>0</v>
      </c>
    </row>
    <row r="3" spans="1:6" x14ac:dyDescent="0.5">
      <c r="A3" s="616">
        <v>2009</v>
      </c>
      <c r="B3" s="618">
        <v>3.0000000000000001E-5</v>
      </c>
      <c r="C3" s="618">
        <v>0</v>
      </c>
      <c r="D3" s="618">
        <v>0</v>
      </c>
      <c r="E3" s="678">
        <v>0.2</v>
      </c>
      <c r="F3" s="618">
        <v>0</v>
      </c>
    </row>
    <row r="4" spans="1:6" x14ac:dyDescent="0.5">
      <c r="A4" s="616">
        <v>2010</v>
      </c>
      <c r="B4" s="618">
        <v>8.0000000000000007E-5</v>
      </c>
      <c r="C4" s="618">
        <v>9.0000000000000006E-5</v>
      </c>
      <c r="D4" s="618">
        <v>0</v>
      </c>
      <c r="E4" s="678">
        <v>1.1000000000000001</v>
      </c>
      <c r="F4" s="618">
        <v>0</v>
      </c>
    </row>
    <row r="5" spans="1:6" x14ac:dyDescent="0.5">
      <c r="A5" s="616">
        <v>2011</v>
      </c>
      <c r="B5" s="618">
        <v>0</v>
      </c>
      <c r="C5" s="618">
        <v>2.0000000000000002E-5</v>
      </c>
      <c r="D5" s="618">
        <v>1.0000000000000001E-5</v>
      </c>
      <c r="E5" s="678">
        <v>1</v>
      </c>
      <c r="F5" s="618">
        <v>0</v>
      </c>
    </row>
    <row r="6" spans="1:6" x14ac:dyDescent="0.5">
      <c r="A6" s="616">
        <v>2012</v>
      </c>
      <c r="B6" s="618">
        <v>0</v>
      </c>
      <c r="C6" s="618">
        <v>8.0000000000000007E-5</v>
      </c>
      <c r="D6" s="618">
        <v>0</v>
      </c>
      <c r="E6" s="678">
        <v>0.7</v>
      </c>
      <c r="F6" s="618">
        <v>0</v>
      </c>
    </row>
    <row r="7" spans="1:6" x14ac:dyDescent="0.5">
      <c r="A7" s="616">
        <v>2013</v>
      </c>
      <c r="B7" s="618">
        <v>2.0000000000000002E-5</v>
      </c>
      <c r="C7" s="618">
        <v>6.9999999999999994E-5</v>
      </c>
      <c r="D7" s="618">
        <v>0</v>
      </c>
      <c r="E7" s="678">
        <v>0.9</v>
      </c>
      <c r="F7" s="618">
        <v>0</v>
      </c>
    </row>
    <row r="8" spans="1:6" x14ac:dyDescent="0.5">
      <c r="A8" s="616">
        <v>2014</v>
      </c>
      <c r="B8" s="618">
        <v>1.0000000000000001E-5</v>
      </c>
      <c r="C8" s="618">
        <v>0</v>
      </c>
      <c r="D8" s="618">
        <v>0</v>
      </c>
      <c r="E8" s="678">
        <v>0.5</v>
      </c>
      <c r="F8" s="618">
        <v>0</v>
      </c>
    </row>
    <row r="9" spans="1:6" x14ac:dyDescent="0.5">
      <c r="A9" s="616">
        <v>2015</v>
      </c>
      <c r="B9" s="618">
        <v>1.0000000000000001E-5</v>
      </c>
      <c r="C9" s="618">
        <v>3.0000000000000001E-5</v>
      </c>
      <c r="D9" s="618">
        <v>0</v>
      </c>
      <c r="E9" s="678">
        <v>2.1</v>
      </c>
      <c r="F9" s="618">
        <v>0</v>
      </c>
    </row>
    <row r="10" spans="1:6" x14ac:dyDescent="0.5">
      <c r="A10" s="616">
        <v>2016</v>
      </c>
      <c r="B10" s="618">
        <v>0</v>
      </c>
      <c r="C10" s="618">
        <v>6.9999999999999994E-5</v>
      </c>
      <c r="D10" s="618">
        <v>0</v>
      </c>
      <c r="E10" s="678">
        <v>2.6</v>
      </c>
      <c r="F10" s="618">
        <v>0</v>
      </c>
    </row>
    <row r="11" spans="1:6" x14ac:dyDescent="0.5">
      <c r="A11" s="616">
        <v>2017</v>
      </c>
      <c r="B11" s="618">
        <v>0</v>
      </c>
      <c r="C11" s="618">
        <v>0</v>
      </c>
      <c r="D11" s="618">
        <v>0</v>
      </c>
      <c r="E11" s="678">
        <v>1.2</v>
      </c>
      <c r="F11" s="618">
        <v>0</v>
      </c>
    </row>
    <row r="12" spans="1:6" x14ac:dyDescent="0.5">
      <c r="A12" s="616">
        <v>2018</v>
      </c>
      <c r="B12" s="618">
        <v>0</v>
      </c>
      <c r="C12" s="618">
        <v>0</v>
      </c>
      <c r="D12" s="618">
        <v>0</v>
      </c>
      <c r="E12" s="678">
        <v>1.8720000000000001</v>
      </c>
      <c r="F12" s="618">
        <v>0</v>
      </c>
    </row>
    <row r="13" spans="1:6" x14ac:dyDescent="0.5">
      <c r="A13" s="616"/>
      <c r="B13" s="672"/>
      <c r="C13" s="672"/>
      <c r="D13" s="672"/>
      <c r="E13" s="616"/>
      <c r="F13" s="616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rgb="FF00B050"/>
  </sheetPr>
  <dimension ref="A1:H3"/>
  <sheetViews>
    <sheetView workbookViewId="0">
      <selection activeCell="C8" sqref="C8"/>
    </sheetView>
  </sheetViews>
  <sheetFormatPr defaultRowHeight="12.9" x14ac:dyDescent="0.5"/>
  <cols>
    <col min="1" max="16384" width="8.9375" style="675"/>
  </cols>
  <sheetData>
    <row r="1" spans="1:8" x14ac:dyDescent="0.5">
      <c r="A1" s="616" t="s">
        <v>82</v>
      </c>
      <c r="B1" s="635" t="s">
        <v>974</v>
      </c>
      <c r="C1" s="635" t="s">
        <v>975</v>
      </c>
      <c r="D1" s="635" t="s">
        <v>976</v>
      </c>
      <c r="E1" s="616" t="s">
        <v>977</v>
      </c>
      <c r="F1" s="616" t="s">
        <v>978</v>
      </c>
      <c r="G1" s="616" t="s">
        <v>979</v>
      </c>
      <c r="H1" s="635" t="s">
        <v>973</v>
      </c>
    </row>
    <row r="2" spans="1:8" x14ac:dyDescent="0.5">
      <c r="A2" s="616">
        <v>2017</v>
      </c>
      <c r="B2" s="618">
        <v>1.82E-3</v>
      </c>
      <c r="C2" s="618">
        <v>2.5000000000000001E-4</v>
      </c>
      <c r="D2" s="618">
        <v>4.8999999999999998E-4</v>
      </c>
      <c r="E2" s="618">
        <v>0</v>
      </c>
      <c r="F2" s="618">
        <v>0</v>
      </c>
      <c r="G2" s="618">
        <v>3.6999999999999999E-4</v>
      </c>
      <c r="H2" s="618">
        <v>3.6999999999999999E-4</v>
      </c>
    </row>
    <row r="3" spans="1:8" x14ac:dyDescent="0.5">
      <c r="A3" s="616">
        <v>2018</v>
      </c>
      <c r="B3" s="618">
        <v>2.2899999999999999E-3</v>
      </c>
      <c r="C3" s="618">
        <v>1.1E-4</v>
      </c>
      <c r="D3" s="618">
        <v>5.4000000000000001E-4</v>
      </c>
      <c r="E3" s="618">
        <v>1.6000000000000001E-4</v>
      </c>
      <c r="F3" s="618">
        <v>0</v>
      </c>
      <c r="G3" s="618">
        <v>1.5200000000000001E-3</v>
      </c>
      <c r="H3" s="618">
        <v>1.5200000000000001E-3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rgb="FF00B050"/>
  </sheetPr>
  <dimension ref="A1:H16"/>
  <sheetViews>
    <sheetView workbookViewId="0">
      <selection sqref="A1:H12"/>
    </sheetView>
  </sheetViews>
  <sheetFormatPr defaultRowHeight="12.9" x14ac:dyDescent="0.5"/>
  <cols>
    <col min="1" max="8" width="10.64453125" style="675" customWidth="1"/>
    <col min="9" max="16384" width="8.9375" style="675"/>
  </cols>
  <sheetData>
    <row r="1" spans="1:8" x14ac:dyDescent="0.5">
      <c r="A1" s="616" t="s">
        <v>82</v>
      </c>
      <c r="B1" s="616" t="s">
        <v>951</v>
      </c>
      <c r="C1" s="616" t="s">
        <v>952</v>
      </c>
      <c r="D1" s="616" t="s">
        <v>953</v>
      </c>
      <c r="E1" s="616" t="s">
        <v>954</v>
      </c>
      <c r="F1" s="616" t="s">
        <v>955</v>
      </c>
      <c r="G1" s="616" t="s">
        <v>956</v>
      </c>
      <c r="H1" s="616" t="s">
        <v>957</v>
      </c>
    </row>
    <row r="2" spans="1:8" x14ac:dyDescent="0.5">
      <c r="A2" s="616">
        <v>2008</v>
      </c>
      <c r="B2" s="618">
        <v>2.0000000000000001E-4</v>
      </c>
      <c r="C2" s="618">
        <v>2.0000000000000001E-4</v>
      </c>
      <c r="D2" s="618">
        <v>1E-4</v>
      </c>
      <c r="E2" s="618">
        <v>1E-4</v>
      </c>
      <c r="F2" s="618">
        <v>0</v>
      </c>
      <c r="G2" s="618">
        <v>0</v>
      </c>
      <c r="H2" s="618">
        <v>0</v>
      </c>
    </row>
    <row r="3" spans="1:8" x14ac:dyDescent="0.5">
      <c r="A3" s="616">
        <v>2009</v>
      </c>
      <c r="B3" s="618">
        <v>2.0000000000000001E-4</v>
      </c>
      <c r="C3" s="618">
        <v>2.0000000000000001E-4</v>
      </c>
      <c r="D3" s="618">
        <v>1E-4</v>
      </c>
      <c r="E3" s="618">
        <v>1E-4</v>
      </c>
      <c r="F3" s="618">
        <v>0</v>
      </c>
      <c r="G3" s="618">
        <v>0</v>
      </c>
      <c r="H3" s="618">
        <v>0</v>
      </c>
    </row>
    <row r="4" spans="1:8" x14ac:dyDescent="0.5">
      <c r="A4" s="616">
        <v>2010</v>
      </c>
      <c r="B4" s="618">
        <v>2.0000000000000001E-4</v>
      </c>
      <c r="C4" s="618">
        <v>2.0000000000000001E-4</v>
      </c>
      <c r="D4" s="618">
        <v>2.0000000000000001E-4</v>
      </c>
      <c r="E4" s="618">
        <v>2.0000000000000001E-4</v>
      </c>
      <c r="F4" s="618">
        <v>0</v>
      </c>
      <c r="G4" s="618">
        <v>0</v>
      </c>
      <c r="H4" s="618">
        <v>0</v>
      </c>
    </row>
    <row r="5" spans="1:8" x14ac:dyDescent="0.5">
      <c r="A5" s="616">
        <v>2011</v>
      </c>
      <c r="B5" s="618">
        <v>2.9999999999999997E-4</v>
      </c>
      <c r="C5" s="618">
        <v>2.9999999999999997E-4</v>
      </c>
      <c r="D5" s="618">
        <v>4.0000000000000002E-4</v>
      </c>
      <c r="E5" s="618">
        <v>4.0000000000000002E-4</v>
      </c>
      <c r="F5" s="618">
        <v>0</v>
      </c>
      <c r="G5" s="618">
        <v>0</v>
      </c>
      <c r="H5" s="618">
        <v>0</v>
      </c>
    </row>
    <row r="6" spans="1:8" x14ac:dyDescent="0.5">
      <c r="A6" s="616">
        <v>2012</v>
      </c>
      <c r="B6" s="618">
        <v>2.0000000000000001E-4</v>
      </c>
      <c r="C6" s="618">
        <v>2.0000000000000001E-4</v>
      </c>
      <c r="D6" s="618">
        <v>4.0000000000000002E-4</v>
      </c>
      <c r="E6" s="618">
        <v>4.0000000000000002E-4</v>
      </c>
      <c r="F6" s="618">
        <v>0</v>
      </c>
      <c r="G6" s="618">
        <v>0</v>
      </c>
      <c r="H6" s="618">
        <v>0</v>
      </c>
    </row>
    <row r="7" spans="1:8" x14ac:dyDescent="0.5">
      <c r="A7" s="616">
        <v>2013</v>
      </c>
      <c r="B7" s="618">
        <v>1E-4</v>
      </c>
      <c r="C7" s="618">
        <v>1E-4</v>
      </c>
      <c r="D7" s="618">
        <v>1E-4</v>
      </c>
      <c r="E7" s="618">
        <v>1E-4</v>
      </c>
      <c r="F7" s="618">
        <v>0</v>
      </c>
      <c r="G7" s="618">
        <v>0</v>
      </c>
      <c r="H7" s="618">
        <v>0</v>
      </c>
    </row>
    <row r="8" spans="1:8" x14ac:dyDescent="0.5">
      <c r="A8" s="616">
        <v>2014</v>
      </c>
      <c r="B8" s="618">
        <v>1E-4</v>
      </c>
      <c r="C8" s="618">
        <v>1E-4</v>
      </c>
      <c r="D8" s="618">
        <v>2.9999999999999997E-4</v>
      </c>
      <c r="E8" s="618">
        <v>2.9999999999999997E-4</v>
      </c>
      <c r="F8" s="618">
        <v>0</v>
      </c>
      <c r="G8" s="618">
        <v>0</v>
      </c>
      <c r="H8" s="618">
        <v>0</v>
      </c>
    </row>
    <row r="9" spans="1:8" x14ac:dyDescent="0.5">
      <c r="A9" s="616">
        <v>2015</v>
      </c>
      <c r="B9" s="618">
        <v>1E-4</v>
      </c>
      <c r="C9" s="618">
        <v>1E-4</v>
      </c>
      <c r="D9" s="618">
        <v>1E-4</v>
      </c>
      <c r="E9" s="618">
        <v>1E-4</v>
      </c>
      <c r="F9" s="618">
        <v>0</v>
      </c>
      <c r="G9" s="618">
        <v>0</v>
      </c>
      <c r="H9" s="618">
        <v>0</v>
      </c>
    </row>
    <row r="10" spans="1:8" x14ac:dyDescent="0.5">
      <c r="A10" s="616">
        <v>2016</v>
      </c>
      <c r="B10" s="618">
        <v>1E-4</v>
      </c>
      <c r="C10" s="618">
        <v>1E-4</v>
      </c>
      <c r="D10" s="618">
        <v>1E-4</v>
      </c>
      <c r="E10" s="618">
        <v>1E-4</v>
      </c>
      <c r="F10" s="618">
        <v>0</v>
      </c>
      <c r="G10" s="618">
        <v>0</v>
      </c>
      <c r="H10" s="618">
        <v>0</v>
      </c>
    </row>
    <row r="11" spans="1:8" x14ac:dyDescent="0.5">
      <c r="A11" s="616">
        <v>2017</v>
      </c>
      <c r="B11" s="618">
        <v>4.0000000000000002E-4</v>
      </c>
      <c r="C11" s="618">
        <v>4.0000000000000002E-4</v>
      </c>
      <c r="D11" s="618">
        <v>2.9999999999999997E-4</v>
      </c>
      <c r="E11" s="618">
        <v>2.9999999999999997E-4</v>
      </c>
      <c r="F11" s="618">
        <v>6.9999999999999999E-4</v>
      </c>
      <c r="G11" s="618">
        <v>1E-3</v>
      </c>
      <c r="H11" s="618">
        <v>1E-3</v>
      </c>
    </row>
    <row r="12" spans="1:8" x14ac:dyDescent="0.5">
      <c r="A12" s="616">
        <v>2018</v>
      </c>
      <c r="B12" s="618">
        <v>5.9999999999999995E-4</v>
      </c>
      <c r="C12" s="618">
        <v>5.9999999999999995E-4</v>
      </c>
      <c r="D12" s="618">
        <v>8.0000000000000004E-4</v>
      </c>
      <c r="E12" s="618">
        <v>8.0000000000000004E-4</v>
      </c>
      <c r="F12" s="618">
        <v>2.0000000000000001E-4</v>
      </c>
      <c r="G12" s="618">
        <v>0</v>
      </c>
      <c r="H12" s="618">
        <v>1.5E-3</v>
      </c>
    </row>
    <row r="13" spans="1:8" x14ac:dyDescent="0.5">
      <c r="A13" s="643"/>
    </row>
    <row r="14" spans="1:8" x14ac:dyDescent="0.5">
      <c r="A14" s="643"/>
    </row>
    <row r="15" spans="1:8" x14ac:dyDescent="0.5">
      <c r="A15" s="643"/>
      <c r="C15" s="679"/>
    </row>
    <row r="16" spans="1:8" x14ac:dyDescent="0.5">
      <c r="A16" s="648"/>
      <c r="C16" s="68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00B050"/>
  </sheetPr>
  <dimension ref="A1:L6"/>
  <sheetViews>
    <sheetView workbookViewId="0">
      <selection activeCell="D6" sqref="D6"/>
    </sheetView>
  </sheetViews>
  <sheetFormatPr defaultColWidth="8.87890625" defaultRowHeight="12.9" x14ac:dyDescent="0.5"/>
  <cols>
    <col min="1" max="12" width="15.76171875" style="391" customWidth="1"/>
    <col min="13" max="16384" width="8.87890625" style="391"/>
  </cols>
  <sheetData>
    <row r="1" spans="1:12" x14ac:dyDescent="0.5">
      <c r="A1" s="391" t="s">
        <v>683</v>
      </c>
      <c r="B1" s="391" t="s">
        <v>687</v>
      </c>
      <c r="C1" s="391" t="s">
        <v>688</v>
      </c>
      <c r="D1" s="391" t="s">
        <v>689</v>
      </c>
      <c r="E1" s="391" t="s">
        <v>690</v>
      </c>
      <c r="F1" s="391" t="s">
        <v>691</v>
      </c>
      <c r="G1" s="391" t="s">
        <v>692</v>
      </c>
      <c r="H1" s="391" t="s">
        <v>693</v>
      </c>
      <c r="I1" s="391" t="s">
        <v>694</v>
      </c>
      <c r="J1" s="391" t="s">
        <v>684</v>
      </c>
      <c r="K1" s="391" t="s">
        <v>685</v>
      </c>
      <c r="L1" s="391" t="s">
        <v>686</v>
      </c>
    </row>
    <row r="2" spans="1:12" x14ac:dyDescent="0.5">
      <c r="A2" s="391" t="s">
        <v>682</v>
      </c>
      <c r="B2" s="584">
        <v>0</v>
      </c>
      <c r="C2" s="584">
        <v>16853</v>
      </c>
      <c r="D2" s="584">
        <v>1943</v>
      </c>
      <c r="E2" s="584">
        <v>1339</v>
      </c>
      <c r="F2" s="584">
        <v>228</v>
      </c>
      <c r="G2" s="584">
        <v>0</v>
      </c>
      <c r="H2" s="584">
        <v>0</v>
      </c>
      <c r="I2" s="584">
        <v>0</v>
      </c>
      <c r="J2" s="584">
        <v>0</v>
      </c>
      <c r="K2" s="584">
        <v>0</v>
      </c>
      <c r="L2" s="584">
        <v>20363</v>
      </c>
    </row>
    <row r="3" spans="1:12" ht="15" customHeight="1" x14ac:dyDescent="0.5">
      <c r="A3" s="391" t="s">
        <v>69</v>
      </c>
      <c r="B3" s="584">
        <v>0</v>
      </c>
      <c r="C3" s="584">
        <v>463</v>
      </c>
      <c r="D3" s="584">
        <v>7198</v>
      </c>
      <c r="E3" s="584">
        <v>0</v>
      </c>
      <c r="F3" s="584">
        <v>620</v>
      </c>
      <c r="G3" s="584">
        <v>16</v>
      </c>
      <c r="H3" s="584">
        <v>18</v>
      </c>
      <c r="I3" s="584">
        <v>8093</v>
      </c>
      <c r="J3" s="584">
        <v>35</v>
      </c>
      <c r="K3" s="584">
        <v>66</v>
      </c>
      <c r="L3" s="584">
        <v>16509</v>
      </c>
    </row>
    <row r="4" spans="1:12" ht="15" customHeight="1" x14ac:dyDescent="0.5">
      <c r="A4" s="391" t="s">
        <v>71</v>
      </c>
      <c r="B4" s="584">
        <v>0</v>
      </c>
      <c r="C4" s="584">
        <v>17316</v>
      </c>
      <c r="D4" s="584">
        <v>9141</v>
      </c>
      <c r="E4" s="584">
        <v>1339</v>
      </c>
      <c r="F4" s="584">
        <v>848</v>
      </c>
      <c r="G4" s="584">
        <v>16</v>
      </c>
      <c r="H4" s="584">
        <v>18</v>
      </c>
      <c r="I4" s="584">
        <v>8093</v>
      </c>
      <c r="J4" s="584">
        <v>35</v>
      </c>
      <c r="K4" s="584">
        <v>66</v>
      </c>
      <c r="L4" s="584">
        <v>36872</v>
      </c>
    </row>
    <row r="5" spans="1:12" ht="15" customHeight="1" x14ac:dyDescent="0.5">
      <c r="A5" s="391" t="s">
        <v>77</v>
      </c>
      <c r="B5" s="584">
        <v>0</v>
      </c>
      <c r="C5" s="584">
        <v>25.027147038332856</v>
      </c>
      <c r="D5" s="584">
        <v>42.746150924219492</v>
      </c>
      <c r="E5" s="584">
        <v>0</v>
      </c>
      <c r="F5" s="584">
        <v>0.11507561739512304</v>
      </c>
      <c r="G5" s="584">
        <v>2.9360657568091111</v>
      </c>
      <c r="H5" s="584">
        <v>1.2890400708227898</v>
      </c>
      <c r="I5" s="584">
        <v>465.65348578936539</v>
      </c>
      <c r="J5" s="584">
        <v>0</v>
      </c>
      <c r="K5" s="584">
        <v>0.8</v>
      </c>
      <c r="L5" s="584">
        <v>538.56696519694469</v>
      </c>
    </row>
    <row r="6" spans="1:12" ht="15" customHeight="1" x14ac:dyDescent="0.5">
      <c r="A6" s="391" t="s">
        <v>78</v>
      </c>
      <c r="B6" s="584">
        <v>0</v>
      </c>
      <c r="C6" s="584">
        <v>10.049688348658918</v>
      </c>
      <c r="D6" s="584">
        <v>17.164780877147891</v>
      </c>
      <c r="E6" s="584">
        <v>0</v>
      </c>
      <c r="F6" s="584">
        <v>4.6208786386206339E-2</v>
      </c>
      <c r="G6" s="585">
        <v>1.2875095506672134</v>
      </c>
      <c r="H6" s="585">
        <v>0.51761596960534739</v>
      </c>
      <c r="I6" s="585">
        <v>186.98385411178396</v>
      </c>
      <c r="J6" s="585">
        <v>6.3039231385108092</v>
      </c>
      <c r="K6" s="391">
        <v>0</v>
      </c>
      <c r="L6" s="584">
        <v>222.35358078276033</v>
      </c>
    </row>
  </sheetData>
  <pageMargins left="0.7" right="0.7" top="0.75" bottom="0.75" header="0.3" footer="0.3"/>
  <pageSetup orientation="portrait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rgb="FF00B050"/>
  </sheetPr>
  <dimension ref="A1:I11"/>
  <sheetViews>
    <sheetView workbookViewId="0">
      <selection activeCell="D10" sqref="D10"/>
    </sheetView>
  </sheetViews>
  <sheetFormatPr defaultRowHeight="12.9" x14ac:dyDescent="0.5"/>
  <cols>
    <col min="1" max="9" width="10.64453125" style="675" customWidth="1"/>
    <col min="10" max="16384" width="8.9375" style="675"/>
  </cols>
  <sheetData>
    <row r="1" spans="1:9" x14ac:dyDescent="0.5">
      <c r="A1" s="616" t="s">
        <v>780</v>
      </c>
      <c r="B1" s="616" t="s">
        <v>958</v>
      </c>
      <c r="C1" s="616" t="s">
        <v>959</v>
      </c>
      <c r="D1" s="635" t="s">
        <v>960</v>
      </c>
      <c r="E1" s="616" t="s">
        <v>961</v>
      </c>
      <c r="F1" s="616" t="s">
        <v>962</v>
      </c>
      <c r="G1" s="616" t="s">
        <v>963</v>
      </c>
      <c r="H1" s="616" t="s">
        <v>964</v>
      </c>
      <c r="I1" s="635" t="s">
        <v>965</v>
      </c>
    </row>
    <row r="2" spans="1:9" x14ac:dyDescent="0.5">
      <c r="A2" s="616" t="s">
        <v>309</v>
      </c>
      <c r="B2" s="618">
        <v>0</v>
      </c>
      <c r="C2" s="618">
        <v>0</v>
      </c>
      <c r="D2" s="618">
        <v>0</v>
      </c>
      <c r="E2" s="618">
        <v>0</v>
      </c>
      <c r="F2" s="618">
        <v>0</v>
      </c>
      <c r="G2" s="618">
        <v>1.9000000000000001E-4</v>
      </c>
      <c r="H2" s="618">
        <v>0</v>
      </c>
      <c r="I2" s="618">
        <v>1.9000000000000001E-4</v>
      </c>
    </row>
    <row r="3" spans="1:9" x14ac:dyDescent="0.5">
      <c r="A3" s="616" t="s">
        <v>310</v>
      </c>
      <c r="B3" s="618">
        <v>0</v>
      </c>
      <c r="C3" s="618">
        <v>0</v>
      </c>
      <c r="D3" s="618">
        <v>0</v>
      </c>
      <c r="E3" s="618">
        <v>0</v>
      </c>
      <c r="F3" s="618">
        <v>0</v>
      </c>
      <c r="G3" s="618">
        <v>2.9E-4</v>
      </c>
      <c r="H3" s="618">
        <v>0</v>
      </c>
      <c r="I3" s="618">
        <v>2.9E-4</v>
      </c>
    </row>
    <row r="4" spans="1:9" x14ac:dyDescent="0.5">
      <c r="A4" s="616" t="s">
        <v>311</v>
      </c>
      <c r="B4" s="618">
        <v>0</v>
      </c>
      <c r="C4" s="618">
        <v>0</v>
      </c>
      <c r="D4" s="618">
        <v>0</v>
      </c>
      <c r="E4" s="618">
        <v>6.0000000000000002E-5</v>
      </c>
      <c r="F4" s="618">
        <v>0</v>
      </c>
      <c r="G4" s="618">
        <v>4.8999999999999998E-4</v>
      </c>
      <c r="H4" s="618">
        <v>2.0000000000000002E-5</v>
      </c>
      <c r="I4" s="618">
        <v>4.8999999999999998E-4</v>
      </c>
    </row>
    <row r="5" spans="1:9" x14ac:dyDescent="0.5">
      <c r="A5" s="616" t="s">
        <v>312</v>
      </c>
      <c r="B5" s="618">
        <v>0</v>
      </c>
      <c r="C5" s="618">
        <v>0</v>
      </c>
      <c r="D5" s="618">
        <v>0</v>
      </c>
      <c r="E5" s="618">
        <v>0</v>
      </c>
      <c r="F5" s="618">
        <v>0</v>
      </c>
      <c r="G5" s="618">
        <v>1.17E-3</v>
      </c>
      <c r="H5" s="618">
        <v>2.0000000000000002E-5</v>
      </c>
      <c r="I5" s="618">
        <v>1.17E-3</v>
      </c>
    </row>
    <row r="6" spans="1:9" x14ac:dyDescent="0.5">
      <c r="A6" s="616" t="s">
        <v>313</v>
      </c>
      <c r="B6" s="618">
        <v>1.0000000000000001E-5</v>
      </c>
      <c r="C6" s="618">
        <v>1.0000000000000001E-5</v>
      </c>
      <c r="D6" s="618">
        <v>1.0000000000000001E-5</v>
      </c>
      <c r="E6" s="618">
        <v>0</v>
      </c>
      <c r="F6" s="618">
        <v>1.0000000000000001E-5</v>
      </c>
      <c r="G6" s="618">
        <v>2.7999999999999998E-4</v>
      </c>
      <c r="H6" s="618">
        <v>4.0000000000000003E-5</v>
      </c>
      <c r="I6" s="618">
        <v>2.7999999999999998E-4</v>
      </c>
    </row>
    <row r="7" spans="1:9" x14ac:dyDescent="0.5">
      <c r="A7" s="616" t="s">
        <v>314</v>
      </c>
      <c r="B7" s="618">
        <v>0</v>
      </c>
      <c r="C7" s="618">
        <v>0</v>
      </c>
      <c r="D7" s="618">
        <v>0</v>
      </c>
      <c r="E7" s="618">
        <v>0</v>
      </c>
      <c r="F7" s="618">
        <v>0</v>
      </c>
      <c r="G7" s="618">
        <v>5.0000000000000001E-4</v>
      </c>
      <c r="H7" s="618">
        <v>1.0000000000000001E-5</v>
      </c>
      <c r="I7" s="618">
        <v>5.0000000000000001E-4</v>
      </c>
    </row>
    <row r="8" spans="1:9" x14ac:dyDescent="0.5">
      <c r="A8" s="616" t="s">
        <v>315</v>
      </c>
      <c r="B8" s="618">
        <v>0</v>
      </c>
      <c r="C8" s="618">
        <v>0</v>
      </c>
      <c r="D8" s="618">
        <v>0</v>
      </c>
      <c r="E8" s="618">
        <v>0</v>
      </c>
      <c r="F8" s="618">
        <v>0</v>
      </c>
      <c r="G8" s="618">
        <v>3.8000000000000002E-4</v>
      </c>
      <c r="H8" s="618">
        <v>0</v>
      </c>
      <c r="I8" s="618">
        <v>3.8000000000000002E-4</v>
      </c>
    </row>
    <row r="9" spans="1:9" x14ac:dyDescent="0.5">
      <c r="A9" s="616" t="s">
        <v>316</v>
      </c>
      <c r="B9" s="618">
        <v>0</v>
      </c>
      <c r="C9" s="618">
        <v>0</v>
      </c>
      <c r="D9" s="618">
        <v>0</v>
      </c>
      <c r="E9" s="618">
        <v>0</v>
      </c>
      <c r="F9" s="618">
        <v>0</v>
      </c>
      <c r="G9" s="618">
        <v>1.8000000000000001E-4</v>
      </c>
      <c r="H9" s="618">
        <v>0</v>
      </c>
      <c r="I9" s="618">
        <v>1.8000000000000001E-4</v>
      </c>
    </row>
    <row r="10" spans="1:9" x14ac:dyDescent="0.5">
      <c r="A10" s="616" t="s">
        <v>317</v>
      </c>
      <c r="B10" s="618">
        <v>1.0000000000000001E-5</v>
      </c>
      <c r="C10" s="618">
        <v>1.0000000000000001E-5</v>
      </c>
      <c r="D10" s="618">
        <v>1.0000000000000001E-5</v>
      </c>
      <c r="E10" s="618">
        <v>0</v>
      </c>
      <c r="F10" s="618">
        <v>1.0000000000000001E-5</v>
      </c>
      <c r="G10" s="618">
        <v>3.8999999999999999E-4</v>
      </c>
      <c r="H10" s="618">
        <v>0</v>
      </c>
      <c r="I10" s="618">
        <v>3.8999999999999999E-4</v>
      </c>
    </row>
    <row r="11" spans="1:9" x14ac:dyDescent="0.5">
      <c r="A11" s="616" t="s">
        <v>318</v>
      </c>
      <c r="B11" s="618">
        <f>'T36'!B11+'T39'!B12+'T42'!B11+'T44'!C3</f>
        <v>1.1E-4</v>
      </c>
      <c r="C11" s="618">
        <f>'T36'!C11+'T39'!C12+'T42'!C11+'T44'!D3</f>
        <v>5.4000000000000001E-4</v>
      </c>
      <c r="D11" s="618">
        <f>'T36'!D11+'T39'!D12+'T42'!D11+'T44'!C3</f>
        <v>1.1E-4</v>
      </c>
      <c r="E11" s="618">
        <f>'T36'!E11+'T39'!E12+'T42'!E11</f>
        <v>0</v>
      </c>
      <c r="F11" s="618">
        <f>'T36'!F11+'T39'!F12+'T42'!F11+'T44'!C3</f>
        <v>1.1E-4</v>
      </c>
      <c r="G11" s="618">
        <f>'T36'!G11+'T39'!G12+'T42'!G11</f>
        <v>1.0774529718272541E-3</v>
      </c>
      <c r="H11" s="618">
        <f>'T36'!H11+'T39'!H12+'T42'!H11</f>
        <v>0</v>
      </c>
      <c r="I11" s="618">
        <f>'T36'!I11+'T39'!I12+'T42'!I11</f>
        <v>1.0774529718272541E-3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rgb="FF00B050"/>
  </sheetPr>
  <dimension ref="A1:F12"/>
  <sheetViews>
    <sheetView workbookViewId="0">
      <selection activeCell="E20" sqref="E20"/>
    </sheetView>
  </sheetViews>
  <sheetFormatPr defaultRowHeight="12.9" x14ac:dyDescent="0.5"/>
  <cols>
    <col min="1" max="6" width="10.64453125" style="675" customWidth="1"/>
    <col min="7" max="16384" width="8.9375" style="675"/>
  </cols>
  <sheetData>
    <row r="1" spans="1:6" x14ac:dyDescent="0.5">
      <c r="A1" s="616" t="s">
        <v>82</v>
      </c>
      <c r="B1" s="635" t="s">
        <v>966</v>
      </c>
      <c r="C1" s="635" t="s">
        <v>967</v>
      </c>
      <c r="D1" s="635" t="s">
        <v>968</v>
      </c>
      <c r="E1" s="635" t="s">
        <v>969</v>
      </c>
      <c r="F1" s="635" t="s">
        <v>970</v>
      </c>
    </row>
    <row r="2" spans="1:6" x14ac:dyDescent="0.5">
      <c r="A2" s="616">
        <v>2008</v>
      </c>
      <c r="B2" s="618">
        <v>1.0000000000000001E-5</v>
      </c>
      <c r="C2" s="618">
        <v>0</v>
      </c>
      <c r="D2" s="618">
        <v>0</v>
      </c>
      <c r="E2" s="618">
        <v>0.1</v>
      </c>
      <c r="F2" s="618">
        <v>0</v>
      </c>
    </row>
    <row r="3" spans="1:6" x14ac:dyDescent="0.5">
      <c r="A3" s="616">
        <v>2009</v>
      </c>
      <c r="B3" s="618">
        <v>3.0000000000000001E-5</v>
      </c>
      <c r="C3" s="618">
        <v>0</v>
      </c>
      <c r="D3" s="618">
        <v>0</v>
      </c>
      <c r="E3" s="618">
        <v>0.2</v>
      </c>
      <c r="F3" s="618">
        <v>0</v>
      </c>
    </row>
    <row r="4" spans="1:6" x14ac:dyDescent="0.5">
      <c r="A4" s="616">
        <v>2010</v>
      </c>
      <c r="B4" s="618">
        <v>8.0000000000000007E-5</v>
      </c>
      <c r="C4" s="618">
        <v>9.0000000000000006E-5</v>
      </c>
      <c r="D4" s="618">
        <v>0</v>
      </c>
      <c r="E4" s="618">
        <v>1.1000000000000001</v>
      </c>
      <c r="F4" s="618">
        <v>0</v>
      </c>
    </row>
    <row r="5" spans="1:6" x14ac:dyDescent="0.5">
      <c r="A5" s="616">
        <v>2011</v>
      </c>
      <c r="B5" s="618">
        <v>0</v>
      </c>
      <c r="C5" s="618">
        <v>2.0000000000000002E-5</v>
      </c>
      <c r="D5" s="618">
        <v>2.0000000000000002E-5</v>
      </c>
      <c r="E5" s="618">
        <v>1</v>
      </c>
      <c r="F5" s="618">
        <v>0</v>
      </c>
    </row>
    <row r="6" spans="1:6" x14ac:dyDescent="0.5">
      <c r="A6" s="616">
        <v>2012</v>
      </c>
      <c r="B6" s="618">
        <v>0</v>
      </c>
      <c r="C6" s="618">
        <v>8.0000000000000007E-5</v>
      </c>
      <c r="D6" s="618">
        <v>0</v>
      </c>
      <c r="E6" s="618">
        <v>0.7</v>
      </c>
      <c r="F6" s="618">
        <v>0</v>
      </c>
    </row>
    <row r="7" spans="1:6" x14ac:dyDescent="0.5">
      <c r="A7" s="616">
        <v>2013</v>
      </c>
      <c r="B7" s="618">
        <v>2.0000000000000002E-5</v>
      </c>
      <c r="C7" s="618">
        <v>6.9999999999999994E-5</v>
      </c>
      <c r="D7" s="618">
        <v>2.0000000000000002E-5</v>
      </c>
      <c r="E7" s="618">
        <v>0.9</v>
      </c>
      <c r="F7" s="618">
        <v>0</v>
      </c>
    </row>
    <row r="8" spans="1:6" x14ac:dyDescent="0.5">
      <c r="A8" s="616">
        <v>2014</v>
      </c>
      <c r="B8" s="618">
        <v>1.0000000000000001E-5</v>
      </c>
      <c r="C8" s="618">
        <v>0</v>
      </c>
      <c r="D8" s="618">
        <v>1.0000000000000001E-5</v>
      </c>
      <c r="E8" s="618">
        <v>0.5</v>
      </c>
      <c r="F8" s="618">
        <v>0</v>
      </c>
    </row>
    <row r="9" spans="1:6" x14ac:dyDescent="0.5">
      <c r="A9" s="616">
        <v>2015</v>
      </c>
      <c r="B9" s="618">
        <v>1.0000000000000001E-5</v>
      </c>
      <c r="C9" s="618">
        <v>3.0000000000000001E-5</v>
      </c>
      <c r="D9" s="618">
        <v>0</v>
      </c>
      <c r="E9" s="618">
        <v>2.1</v>
      </c>
      <c r="F9" s="618">
        <v>0</v>
      </c>
    </row>
    <row r="10" spans="1:6" x14ac:dyDescent="0.5">
      <c r="A10" s="616">
        <v>2016</v>
      </c>
      <c r="B10" s="618">
        <v>0</v>
      </c>
      <c r="C10" s="618">
        <v>6.9999999999999994E-5</v>
      </c>
      <c r="D10" s="618">
        <v>0</v>
      </c>
      <c r="E10" s="618">
        <v>2.5</v>
      </c>
      <c r="F10" s="618">
        <v>0</v>
      </c>
    </row>
    <row r="11" spans="1:6" x14ac:dyDescent="0.5">
      <c r="A11" s="616">
        <v>2017</v>
      </c>
      <c r="B11" s="618">
        <v>1.98E-3</v>
      </c>
      <c r="C11" s="618">
        <v>0</v>
      </c>
      <c r="D11" s="618">
        <v>3.0000000000000001E-5</v>
      </c>
      <c r="E11" s="618">
        <v>1</v>
      </c>
      <c r="F11" s="618">
        <v>0</v>
      </c>
    </row>
    <row r="12" spans="1:6" x14ac:dyDescent="0.5">
      <c r="A12" s="616">
        <v>2018</v>
      </c>
      <c r="B12" s="618">
        <v>2.2899999999999999E-3</v>
      </c>
      <c r="C12" s="618">
        <v>0</v>
      </c>
      <c r="D12" s="618">
        <v>3.0000000000000001E-5</v>
      </c>
      <c r="E12" s="618">
        <v>1.8720000000000001</v>
      </c>
      <c r="F12" s="618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rgb="FF00B050"/>
  </sheetPr>
  <dimension ref="A1:J14"/>
  <sheetViews>
    <sheetView zoomScaleNormal="100" workbookViewId="0">
      <selection activeCell="I1" sqref="I1"/>
    </sheetView>
  </sheetViews>
  <sheetFormatPr defaultRowHeight="12.9" x14ac:dyDescent="0.5"/>
  <cols>
    <col min="1" max="10" width="10.64453125" style="677" customWidth="1"/>
    <col min="11" max="16384" width="8.9375" style="677"/>
  </cols>
  <sheetData>
    <row r="1" spans="1:10" x14ac:dyDescent="0.5">
      <c r="A1" s="616" t="s">
        <v>82</v>
      </c>
      <c r="B1" s="616" t="s">
        <v>981</v>
      </c>
      <c r="C1" s="616" t="s">
        <v>982</v>
      </c>
      <c r="D1" s="616" t="s">
        <v>952</v>
      </c>
      <c r="E1" s="616" t="s">
        <v>983</v>
      </c>
      <c r="F1" s="616" t="s">
        <v>984</v>
      </c>
      <c r="G1" s="616" t="s">
        <v>985</v>
      </c>
      <c r="H1" s="616" t="s">
        <v>986</v>
      </c>
      <c r="I1" s="616" t="s">
        <v>987</v>
      </c>
      <c r="J1" s="616" t="s">
        <v>988</v>
      </c>
    </row>
    <row r="2" spans="1:10" x14ac:dyDescent="0.5">
      <c r="A2" s="616" t="s">
        <v>980</v>
      </c>
      <c r="B2" s="682">
        <v>131900</v>
      </c>
      <c r="C2" s="682">
        <v>20200</v>
      </c>
      <c r="D2" s="682">
        <v>34200</v>
      </c>
      <c r="E2" s="682">
        <v>57800</v>
      </c>
      <c r="F2" s="682">
        <v>2961</v>
      </c>
      <c r="G2" s="682">
        <v>54646</v>
      </c>
      <c r="H2" s="682">
        <v>49636</v>
      </c>
      <c r="I2" s="682">
        <v>8983</v>
      </c>
      <c r="J2" s="682">
        <v>3800</v>
      </c>
    </row>
    <row r="3" spans="1:10" x14ac:dyDescent="0.5">
      <c r="A3" s="616">
        <v>2008</v>
      </c>
      <c r="B3" s="682">
        <v>178627</v>
      </c>
      <c r="C3" s="682">
        <v>24060</v>
      </c>
      <c r="D3" s="682">
        <v>55532</v>
      </c>
      <c r="E3" s="682">
        <v>214465</v>
      </c>
      <c r="F3" s="682">
        <v>3765</v>
      </c>
      <c r="G3" s="682">
        <v>66912</v>
      </c>
      <c r="H3" s="682">
        <v>96144</v>
      </c>
      <c r="I3" s="682">
        <v>14721</v>
      </c>
      <c r="J3" s="682">
        <v>8929</v>
      </c>
    </row>
    <row r="4" spans="1:10" x14ac:dyDescent="0.5">
      <c r="A4" s="616">
        <v>2009</v>
      </c>
      <c r="B4" s="682">
        <v>169296</v>
      </c>
      <c r="C4" s="682">
        <v>20513</v>
      </c>
      <c r="D4" s="682">
        <v>53881</v>
      </c>
      <c r="E4" s="682">
        <v>179732</v>
      </c>
      <c r="F4" s="682">
        <v>3041</v>
      </c>
      <c r="G4" s="682">
        <v>128896</v>
      </c>
      <c r="H4" s="682">
        <v>45398</v>
      </c>
      <c r="I4" s="682">
        <v>12136</v>
      </c>
      <c r="J4" s="682">
        <v>15641</v>
      </c>
    </row>
    <row r="5" spans="1:10" x14ac:dyDescent="0.5">
      <c r="A5" s="616">
        <v>2010</v>
      </c>
      <c r="B5" s="682">
        <v>315346</v>
      </c>
      <c r="C5" s="682">
        <v>34899</v>
      </c>
      <c r="D5" s="682">
        <v>72346</v>
      </c>
      <c r="E5" s="682">
        <v>392193</v>
      </c>
      <c r="F5" s="682">
        <v>10010</v>
      </c>
      <c r="G5" s="682">
        <v>105515</v>
      </c>
      <c r="H5" s="682">
        <v>82626</v>
      </c>
      <c r="I5" s="682">
        <v>19848</v>
      </c>
      <c r="J5" s="682">
        <v>12901</v>
      </c>
    </row>
    <row r="6" spans="1:10" x14ac:dyDescent="0.5">
      <c r="A6" s="616">
        <v>2011</v>
      </c>
      <c r="B6" s="682">
        <v>221158</v>
      </c>
      <c r="C6" s="682">
        <v>30757</v>
      </c>
      <c r="D6" s="682">
        <v>80574</v>
      </c>
      <c r="E6" s="682">
        <v>187365</v>
      </c>
      <c r="F6" s="682">
        <v>2912</v>
      </c>
      <c r="G6" s="682">
        <v>93286</v>
      </c>
      <c r="H6" s="682">
        <v>31873</v>
      </c>
      <c r="I6" s="682">
        <v>4371</v>
      </c>
      <c r="J6" s="682">
        <v>17226</v>
      </c>
    </row>
    <row r="7" spans="1:10" x14ac:dyDescent="0.5">
      <c r="A7" s="616">
        <v>2012</v>
      </c>
      <c r="B7" s="682">
        <v>203090</v>
      </c>
      <c r="C7" s="682">
        <v>35510</v>
      </c>
      <c r="D7" s="682">
        <v>58300</v>
      </c>
      <c r="E7" s="682">
        <v>521159</v>
      </c>
      <c r="F7" s="682">
        <v>2731</v>
      </c>
      <c r="G7" s="682">
        <v>55424</v>
      </c>
      <c r="H7" s="682">
        <v>28468</v>
      </c>
      <c r="I7" s="682">
        <v>5194</v>
      </c>
      <c r="J7" s="682">
        <v>19277</v>
      </c>
    </row>
    <row r="8" spans="1:10" x14ac:dyDescent="0.5">
      <c r="A8" s="616">
        <v>2013</v>
      </c>
      <c r="B8" s="682">
        <v>123136</v>
      </c>
      <c r="C8" s="682">
        <v>22481</v>
      </c>
      <c r="D8" s="682">
        <v>67603</v>
      </c>
      <c r="E8" s="682">
        <v>186191</v>
      </c>
      <c r="F8" s="682">
        <v>1305</v>
      </c>
      <c r="G8" s="682">
        <v>80613</v>
      </c>
      <c r="H8" s="682">
        <v>11608</v>
      </c>
      <c r="I8" s="682">
        <v>1286</v>
      </c>
      <c r="J8" s="682">
        <v>34672</v>
      </c>
    </row>
    <row r="9" spans="1:10" x14ac:dyDescent="0.5">
      <c r="A9" s="616">
        <v>2014</v>
      </c>
      <c r="B9" s="682">
        <v>242635</v>
      </c>
      <c r="C9" s="682">
        <v>45993</v>
      </c>
      <c r="D9" s="682">
        <v>78254</v>
      </c>
      <c r="E9" s="682">
        <v>651146</v>
      </c>
      <c r="F9" s="682">
        <v>4477</v>
      </c>
      <c r="G9" s="682">
        <v>97225</v>
      </c>
      <c r="H9" s="682">
        <v>43731</v>
      </c>
      <c r="I9" s="682">
        <v>5409</v>
      </c>
      <c r="J9" s="682">
        <v>20754</v>
      </c>
    </row>
    <row r="10" spans="1:10" x14ac:dyDescent="0.5">
      <c r="A10" s="616">
        <v>2015</v>
      </c>
      <c r="B10" s="682">
        <v>288994</v>
      </c>
      <c r="C10" s="682">
        <v>30193</v>
      </c>
      <c r="D10" s="682">
        <v>126882</v>
      </c>
      <c r="E10" s="682">
        <v>512455</v>
      </c>
      <c r="F10" s="682">
        <v>3331</v>
      </c>
      <c r="G10" s="682">
        <v>77388</v>
      </c>
      <c r="H10" s="682">
        <v>15170</v>
      </c>
      <c r="I10" s="682">
        <v>3287</v>
      </c>
      <c r="J10" s="682">
        <v>24849</v>
      </c>
    </row>
    <row r="11" spans="1:10" x14ac:dyDescent="0.5">
      <c r="A11" s="616">
        <v>2016</v>
      </c>
      <c r="B11" s="682">
        <v>187816</v>
      </c>
      <c r="C11" s="682">
        <v>23635</v>
      </c>
      <c r="D11" s="682">
        <v>91048</v>
      </c>
      <c r="E11" s="682">
        <v>356606</v>
      </c>
      <c r="F11" s="682">
        <v>4436</v>
      </c>
      <c r="G11" s="682">
        <v>29146</v>
      </c>
      <c r="H11" s="682">
        <v>42916</v>
      </c>
      <c r="I11" s="682">
        <v>3469</v>
      </c>
      <c r="J11" s="682">
        <v>15147</v>
      </c>
    </row>
    <row r="12" spans="1:10" x14ac:dyDescent="0.5">
      <c r="A12" s="616">
        <v>2017</v>
      </c>
      <c r="B12" s="682">
        <v>115821</v>
      </c>
      <c r="C12" s="682">
        <v>7204</v>
      </c>
      <c r="D12" s="682">
        <v>68204</v>
      </c>
      <c r="E12" s="682">
        <v>88263</v>
      </c>
      <c r="F12" s="682">
        <v>1236</v>
      </c>
      <c r="G12" s="682">
        <v>28317</v>
      </c>
      <c r="H12" s="682">
        <v>6633</v>
      </c>
      <c r="I12" s="682">
        <v>375</v>
      </c>
      <c r="J12" s="682">
        <v>11750</v>
      </c>
    </row>
    <row r="13" spans="1:10" x14ac:dyDescent="0.5">
      <c r="A13" s="616">
        <v>2018</v>
      </c>
      <c r="B13" s="682">
        <v>115081</v>
      </c>
      <c r="C13" s="682">
        <v>11339</v>
      </c>
      <c r="D13" s="682">
        <v>42120</v>
      </c>
      <c r="E13" s="682">
        <v>210915</v>
      </c>
      <c r="F13" s="682">
        <v>2595</v>
      </c>
      <c r="G13" s="682">
        <v>21725</v>
      </c>
      <c r="H13" s="682">
        <v>24662</v>
      </c>
      <c r="I13" s="682">
        <v>2382</v>
      </c>
      <c r="J13" s="682">
        <v>10642</v>
      </c>
    </row>
    <row r="14" spans="1:10" x14ac:dyDescent="0.5">
      <c r="A14" s="616"/>
      <c r="B14" s="616"/>
      <c r="C14" s="616"/>
      <c r="D14" s="616"/>
      <c r="E14" s="616"/>
      <c r="F14" s="616"/>
      <c r="G14" s="616"/>
      <c r="H14" s="616"/>
      <c r="I14" s="616"/>
      <c r="J14" s="616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tabColor rgb="FF00B050"/>
  </sheetPr>
  <dimension ref="A1:H13"/>
  <sheetViews>
    <sheetView zoomScale="120" zoomScaleNormal="120" workbookViewId="0">
      <selection activeCell="F21" sqref="F21"/>
    </sheetView>
  </sheetViews>
  <sheetFormatPr defaultRowHeight="12.9" x14ac:dyDescent="0.5"/>
  <cols>
    <col min="1" max="8" width="10.64453125" style="681" customWidth="1"/>
    <col min="9" max="16384" width="8.9375" style="681"/>
  </cols>
  <sheetData>
    <row r="1" spans="1:8" x14ac:dyDescent="0.5">
      <c r="A1" s="653" t="s">
        <v>82</v>
      </c>
      <c r="B1" s="616" t="s">
        <v>989</v>
      </c>
      <c r="C1" s="616" t="s">
        <v>982</v>
      </c>
      <c r="D1" s="616" t="s">
        <v>990</v>
      </c>
      <c r="E1" s="653" t="s">
        <v>991</v>
      </c>
      <c r="F1" s="616" t="s">
        <v>992</v>
      </c>
      <c r="G1" s="616" t="s">
        <v>993</v>
      </c>
      <c r="H1" s="616" t="s">
        <v>994</v>
      </c>
    </row>
    <row r="2" spans="1:8" x14ac:dyDescent="0.5">
      <c r="A2" s="653" t="s">
        <v>980</v>
      </c>
      <c r="B2" s="654">
        <v>1900</v>
      </c>
      <c r="C2" s="654">
        <v>12100</v>
      </c>
      <c r="D2" s="654">
        <v>1450</v>
      </c>
      <c r="E2" s="654">
        <v>3056</v>
      </c>
      <c r="F2" s="654">
        <v>3200</v>
      </c>
      <c r="G2" s="654">
        <v>1200</v>
      </c>
      <c r="H2" s="654">
        <v>29600</v>
      </c>
    </row>
    <row r="3" spans="1:8" x14ac:dyDescent="0.5">
      <c r="A3" s="653">
        <v>2008</v>
      </c>
      <c r="B3" s="654">
        <v>675</v>
      </c>
      <c r="C3" s="654">
        <v>17171</v>
      </c>
      <c r="D3" s="654">
        <v>1127</v>
      </c>
      <c r="E3" s="654">
        <v>3204</v>
      </c>
      <c r="F3" s="654">
        <v>3090</v>
      </c>
      <c r="G3" s="654">
        <v>529</v>
      </c>
      <c r="H3" s="654">
        <v>38171</v>
      </c>
    </row>
    <row r="4" spans="1:8" x14ac:dyDescent="0.5">
      <c r="A4" s="653">
        <v>2009</v>
      </c>
      <c r="B4" s="654">
        <v>1100</v>
      </c>
      <c r="C4" s="654">
        <v>14313</v>
      </c>
      <c r="D4" s="654">
        <v>1620</v>
      </c>
      <c r="E4" s="654">
        <v>4036</v>
      </c>
      <c r="F4" s="654">
        <v>4016</v>
      </c>
      <c r="G4" s="654">
        <v>412</v>
      </c>
      <c r="H4" s="654">
        <v>44295</v>
      </c>
    </row>
    <row r="5" spans="1:8" x14ac:dyDescent="0.5">
      <c r="A5" s="653">
        <v>2010</v>
      </c>
      <c r="B5" s="654">
        <v>2476</v>
      </c>
      <c r="C5" s="654">
        <v>25211</v>
      </c>
      <c r="D5" s="654">
        <v>2105</v>
      </c>
      <c r="E5" s="654">
        <v>6899</v>
      </c>
      <c r="F5" s="654">
        <v>4877</v>
      </c>
      <c r="G5" s="654">
        <v>1587</v>
      </c>
      <c r="H5" s="654">
        <v>47220</v>
      </c>
    </row>
    <row r="6" spans="1:8" x14ac:dyDescent="0.5">
      <c r="A6" s="653">
        <v>2011</v>
      </c>
      <c r="B6" s="654">
        <v>2167</v>
      </c>
      <c r="C6" s="654">
        <v>23844</v>
      </c>
      <c r="D6" s="654">
        <v>3055</v>
      </c>
      <c r="E6" s="654">
        <v>6523</v>
      </c>
      <c r="F6" s="654">
        <v>6542</v>
      </c>
      <c r="G6" s="654">
        <v>657</v>
      </c>
      <c r="H6" s="654">
        <v>44432</v>
      </c>
    </row>
    <row r="7" spans="1:8" x14ac:dyDescent="0.5">
      <c r="A7" s="653">
        <v>2012</v>
      </c>
      <c r="B7" s="654">
        <v>4405</v>
      </c>
      <c r="C7" s="654">
        <v>24828</v>
      </c>
      <c r="D7" s="654">
        <v>3294</v>
      </c>
      <c r="E7" s="654">
        <v>5895</v>
      </c>
      <c r="F7" s="654">
        <v>6322</v>
      </c>
      <c r="G7" s="654">
        <v>360</v>
      </c>
      <c r="H7" s="654">
        <v>52184</v>
      </c>
    </row>
    <row r="8" spans="1:8" x14ac:dyDescent="0.5">
      <c r="A8" s="653">
        <v>2013</v>
      </c>
      <c r="B8" s="654">
        <v>2517</v>
      </c>
      <c r="C8" s="654">
        <v>13916</v>
      </c>
      <c r="D8" s="654">
        <v>1637</v>
      </c>
      <c r="E8" s="654">
        <v>3769</v>
      </c>
      <c r="F8" s="654">
        <v>3378</v>
      </c>
      <c r="G8" s="654">
        <v>311</v>
      </c>
      <c r="H8" s="654">
        <v>68386</v>
      </c>
    </row>
    <row r="9" spans="1:8" x14ac:dyDescent="0.5">
      <c r="A9" s="653">
        <v>2014</v>
      </c>
      <c r="B9" s="654">
        <v>4415</v>
      </c>
      <c r="C9" s="654">
        <v>31208</v>
      </c>
      <c r="D9" s="654">
        <v>2262</v>
      </c>
      <c r="E9" s="654">
        <v>7996</v>
      </c>
      <c r="F9" s="654">
        <v>7481</v>
      </c>
      <c r="G9" s="654">
        <v>666</v>
      </c>
      <c r="H9" s="654">
        <v>77982</v>
      </c>
    </row>
    <row r="10" spans="1:8" x14ac:dyDescent="0.5">
      <c r="A10" s="653">
        <v>2015</v>
      </c>
      <c r="B10" s="654">
        <v>6090</v>
      </c>
      <c r="C10" s="654">
        <v>21910</v>
      </c>
      <c r="D10" s="654">
        <v>2374</v>
      </c>
      <c r="E10" s="654">
        <v>4833</v>
      </c>
      <c r="F10" s="654">
        <v>5780</v>
      </c>
      <c r="G10" s="654">
        <v>1323</v>
      </c>
      <c r="H10" s="654">
        <v>88691</v>
      </c>
    </row>
    <row r="11" spans="1:8" x14ac:dyDescent="0.5">
      <c r="A11" s="653">
        <v>2016</v>
      </c>
      <c r="B11" s="654">
        <v>3764</v>
      </c>
      <c r="C11" s="654">
        <v>15946</v>
      </c>
      <c r="D11" s="654">
        <v>1640</v>
      </c>
      <c r="E11" s="654">
        <v>4625</v>
      </c>
      <c r="F11" s="654">
        <v>3162</v>
      </c>
      <c r="G11" s="654">
        <v>344</v>
      </c>
      <c r="H11" s="654">
        <v>79253</v>
      </c>
    </row>
    <row r="12" spans="1:8" x14ac:dyDescent="0.5">
      <c r="A12" s="653">
        <v>2017</v>
      </c>
      <c r="B12" s="654">
        <v>1589</v>
      </c>
      <c r="C12" s="654">
        <v>4365</v>
      </c>
      <c r="D12" s="654">
        <v>1076</v>
      </c>
      <c r="E12" s="654">
        <v>1429</v>
      </c>
      <c r="F12" s="654">
        <v>1082</v>
      </c>
      <c r="G12" s="654">
        <v>179</v>
      </c>
      <c r="H12" s="654">
        <v>56265</v>
      </c>
    </row>
    <row r="13" spans="1:8" x14ac:dyDescent="0.5">
      <c r="A13" s="653">
        <v>2018</v>
      </c>
      <c r="B13" s="654">
        <v>1213</v>
      </c>
      <c r="C13" s="654">
        <v>6552</v>
      </c>
      <c r="D13" s="654">
        <v>1217</v>
      </c>
      <c r="E13" s="654">
        <v>1820</v>
      </c>
      <c r="F13" s="654">
        <v>1818</v>
      </c>
      <c r="G13" s="654">
        <v>242</v>
      </c>
      <c r="H13" s="654">
        <v>38816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tabColor rgb="FF00B050"/>
  </sheetPr>
  <dimension ref="A1:I13"/>
  <sheetViews>
    <sheetView zoomScale="120" zoomScaleNormal="120" workbookViewId="0">
      <selection activeCell="G17" sqref="G17"/>
    </sheetView>
  </sheetViews>
  <sheetFormatPr defaultRowHeight="12.9" x14ac:dyDescent="0.5"/>
  <cols>
    <col min="1" max="8" width="10.64453125" style="683" customWidth="1"/>
    <col min="9" max="16384" width="8.9375" style="683"/>
  </cols>
  <sheetData>
    <row r="1" spans="1:9" x14ac:dyDescent="0.5">
      <c r="A1" s="616" t="s">
        <v>82</v>
      </c>
      <c r="B1" s="616" t="s">
        <v>996</v>
      </c>
      <c r="C1" s="616" t="s">
        <v>996</v>
      </c>
      <c r="D1" s="616" t="s">
        <v>995</v>
      </c>
      <c r="E1" s="616" t="s">
        <v>997</v>
      </c>
      <c r="F1" s="616" t="s">
        <v>998</v>
      </c>
      <c r="G1" s="616" t="s">
        <v>999</v>
      </c>
      <c r="H1" s="616" t="s">
        <v>1000</v>
      </c>
      <c r="I1" s="616"/>
    </row>
    <row r="2" spans="1:9" x14ac:dyDescent="0.5">
      <c r="A2" s="616" t="s">
        <v>980</v>
      </c>
      <c r="B2" s="645">
        <v>40</v>
      </c>
      <c r="C2" s="645">
        <v>20</v>
      </c>
      <c r="D2" s="645">
        <v>18400</v>
      </c>
      <c r="E2" s="645">
        <v>28500</v>
      </c>
      <c r="F2" s="645">
        <v>46600</v>
      </c>
      <c r="G2" s="645">
        <v>2003</v>
      </c>
      <c r="H2" s="645">
        <v>9893</v>
      </c>
    </row>
    <row r="3" spans="1:9" x14ac:dyDescent="0.5">
      <c r="A3" s="616">
        <v>2008</v>
      </c>
      <c r="B3" s="645">
        <v>909</v>
      </c>
      <c r="C3" s="645">
        <v>650</v>
      </c>
      <c r="D3" s="645">
        <v>32396</v>
      </c>
      <c r="E3" s="645">
        <v>165334</v>
      </c>
      <c r="F3" s="645">
        <v>23400</v>
      </c>
      <c r="G3" s="645">
        <v>3930</v>
      </c>
      <c r="H3" s="645">
        <v>6908</v>
      </c>
    </row>
    <row r="4" spans="1:9" x14ac:dyDescent="0.5">
      <c r="A4" s="616">
        <v>2009</v>
      </c>
      <c r="B4" s="645">
        <v>1406</v>
      </c>
      <c r="C4" s="645">
        <v>833</v>
      </c>
      <c r="D4" s="645">
        <v>29724</v>
      </c>
      <c r="E4" s="645">
        <v>134937</v>
      </c>
      <c r="F4" s="645">
        <v>26300</v>
      </c>
      <c r="G4" s="645">
        <v>4977</v>
      </c>
      <c r="H4" s="645">
        <v>6429</v>
      </c>
    </row>
    <row r="5" spans="1:9" x14ac:dyDescent="0.5">
      <c r="A5" s="616">
        <v>2010</v>
      </c>
      <c r="B5" s="645">
        <v>2406</v>
      </c>
      <c r="C5" s="645">
        <v>1355</v>
      </c>
      <c r="D5" s="645">
        <v>42672</v>
      </c>
      <c r="E5" s="645">
        <v>291764</v>
      </c>
      <c r="F5" s="645">
        <v>79500</v>
      </c>
      <c r="G5" s="645">
        <v>7995</v>
      </c>
      <c r="H5" s="645">
        <v>9275</v>
      </c>
    </row>
    <row r="6" spans="1:9" x14ac:dyDescent="0.5">
      <c r="A6" s="616">
        <v>2011</v>
      </c>
      <c r="B6" s="645">
        <v>1502</v>
      </c>
      <c r="C6" s="645">
        <v>1100</v>
      </c>
      <c r="D6" s="645">
        <v>18634</v>
      </c>
      <c r="E6" s="645">
        <v>111508</v>
      </c>
      <c r="F6" s="645">
        <v>65300</v>
      </c>
      <c r="G6" s="645">
        <v>8778</v>
      </c>
      <c r="H6" s="645">
        <v>17117</v>
      </c>
    </row>
    <row r="7" spans="1:9" x14ac:dyDescent="0.5">
      <c r="A7" s="616">
        <v>2012</v>
      </c>
      <c r="B7" s="645">
        <v>470</v>
      </c>
      <c r="C7" s="645">
        <v>243</v>
      </c>
      <c r="D7" s="645">
        <v>47306</v>
      </c>
      <c r="E7" s="645">
        <v>326107</v>
      </c>
      <c r="F7" s="645">
        <v>51688</v>
      </c>
      <c r="G7" s="645">
        <v>12797</v>
      </c>
      <c r="H7" s="645">
        <v>17624</v>
      </c>
    </row>
    <row r="8" spans="1:9" x14ac:dyDescent="0.5">
      <c r="A8" s="616">
        <v>2013</v>
      </c>
      <c r="B8" s="645">
        <v>757</v>
      </c>
      <c r="C8" s="645">
        <v>270</v>
      </c>
      <c r="D8" s="645">
        <v>29229</v>
      </c>
      <c r="E8" s="645">
        <v>129993</v>
      </c>
      <c r="F8" s="645">
        <v>156770</v>
      </c>
      <c r="G8" s="645">
        <v>21124</v>
      </c>
      <c r="H8" s="645">
        <v>18068</v>
      </c>
    </row>
    <row r="9" spans="1:9" x14ac:dyDescent="0.5">
      <c r="A9" s="616">
        <v>2014</v>
      </c>
      <c r="B9" s="645">
        <v>2786</v>
      </c>
      <c r="C9" s="645">
        <v>1557</v>
      </c>
      <c r="D9" s="645">
        <v>99888</v>
      </c>
      <c r="E9" s="645">
        <v>490804</v>
      </c>
      <c r="F9" s="645">
        <v>152464</v>
      </c>
      <c r="G9" s="645">
        <v>14172</v>
      </c>
      <c r="H9" s="645">
        <v>17993</v>
      </c>
    </row>
    <row r="10" spans="1:9" x14ac:dyDescent="0.5">
      <c r="A10" s="616">
        <v>2015</v>
      </c>
      <c r="B10" s="645">
        <v>440</v>
      </c>
      <c r="C10" s="645">
        <v>56</v>
      </c>
      <c r="D10" s="645">
        <v>51533</v>
      </c>
      <c r="E10" s="645">
        <v>187055</v>
      </c>
      <c r="F10" s="645">
        <v>233927</v>
      </c>
      <c r="G10" s="645">
        <v>16212</v>
      </c>
      <c r="H10" s="645">
        <v>17074</v>
      </c>
    </row>
    <row r="11" spans="1:9" x14ac:dyDescent="0.5">
      <c r="A11" s="616">
        <v>2016</v>
      </c>
      <c r="B11" s="645">
        <v>816</v>
      </c>
      <c r="C11" s="645">
        <v>574</v>
      </c>
      <c r="D11" s="645">
        <v>74416</v>
      </c>
      <c r="E11" s="645">
        <v>216036</v>
      </c>
      <c r="F11" s="645">
        <v>109984</v>
      </c>
      <c r="G11" s="645">
        <v>9772</v>
      </c>
      <c r="H11" s="645">
        <v>11628</v>
      </c>
    </row>
    <row r="12" spans="1:9" x14ac:dyDescent="0.5">
      <c r="A12" s="616">
        <v>2017</v>
      </c>
      <c r="B12" s="645">
        <v>228</v>
      </c>
      <c r="C12" s="645">
        <v>162</v>
      </c>
      <c r="D12" s="645">
        <v>26517</v>
      </c>
      <c r="E12" s="645">
        <v>42299</v>
      </c>
      <c r="F12" s="645">
        <v>70704</v>
      </c>
      <c r="G12" s="645">
        <v>6966</v>
      </c>
      <c r="H12" s="645">
        <v>4943</v>
      </c>
    </row>
    <row r="13" spans="1:9" x14ac:dyDescent="0.5">
      <c r="A13" s="616">
        <v>2018</v>
      </c>
      <c r="B13" s="645">
        <v>213</v>
      </c>
      <c r="C13" s="645">
        <v>113</v>
      </c>
      <c r="D13" s="645">
        <v>13962</v>
      </c>
      <c r="E13" s="645">
        <v>153637</v>
      </c>
      <c r="F13" s="645">
        <v>42277</v>
      </c>
      <c r="G13" s="645">
        <v>6133</v>
      </c>
      <c r="H13" s="645">
        <v>4157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>
    <tabColor rgb="FF00B050"/>
  </sheetPr>
  <dimension ref="A1:K13"/>
  <sheetViews>
    <sheetView workbookViewId="0"/>
  </sheetViews>
  <sheetFormatPr defaultRowHeight="12.9" x14ac:dyDescent="0.5"/>
  <cols>
    <col min="1" max="7" width="10.64453125" style="683" customWidth="1"/>
    <col min="8" max="16384" width="8.9375" style="683"/>
  </cols>
  <sheetData>
    <row r="1" spans="1:11" x14ac:dyDescent="0.5">
      <c r="A1" s="653" t="s">
        <v>780</v>
      </c>
      <c r="B1" s="653" t="s">
        <v>1005</v>
      </c>
      <c r="C1" s="653" t="s">
        <v>1006</v>
      </c>
      <c r="D1" s="653" t="s">
        <v>1004</v>
      </c>
      <c r="E1" s="653" t="s">
        <v>1001</v>
      </c>
      <c r="F1" s="653" t="s">
        <v>1002</v>
      </c>
      <c r="G1" s="653" t="s">
        <v>1003</v>
      </c>
      <c r="H1" s="653"/>
      <c r="I1" s="653"/>
      <c r="J1" s="653"/>
      <c r="K1" s="653"/>
    </row>
    <row r="2" spans="1:11" x14ac:dyDescent="0.5">
      <c r="A2" s="653" t="s">
        <v>980</v>
      </c>
      <c r="B2" s="654">
        <v>13788</v>
      </c>
      <c r="C2" s="654">
        <v>3922</v>
      </c>
      <c r="D2" s="654">
        <v>2400</v>
      </c>
      <c r="E2" s="654">
        <v>4100</v>
      </c>
      <c r="F2" s="654">
        <v>6582</v>
      </c>
      <c r="G2" s="654">
        <v>1600</v>
      </c>
      <c r="H2" s="653"/>
      <c r="J2" s="653"/>
      <c r="K2" s="653"/>
    </row>
    <row r="3" spans="1:11" x14ac:dyDescent="0.5">
      <c r="A3" s="653" t="s">
        <v>308</v>
      </c>
      <c r="B3" s="654">
        <v>11242</v>
      </c>
      <c r="C3" s="654">
        <v>2924</v>
      </c>
      <c r="D3" s="654">
        <v>2322</v>
      </c>
      <c r="E3" s="654">
        <v>3482</v>
      </c>
      <c r="F3" s="654">
        <v>5109</v>
      </c>
      <c r="G3" s="654">
        <v>2232</v>
      </c>
      <c r="H3" s="684"/>
      <c r="J3" s="653"/>
      <c r="K3" s="653"/>
    </row>
    <row r="4" spans="1:11" x14ac:dyDescent="0.5">
      <c r="A4" s="653" t="s">
        <v>309</v>
      </c>
      <c r="B4" s="654">
        <v>18217</v>
      </c>
      <c r="C4" s="654">
        <v>5659</v>
      </c>
      <c r="D4" s="654">
        <v>3598</v>
      </c>
      <c r="E4" s="654">
        <v>4048</v>
      </c>
      <c r="F4" s="654">
        <v>12923</v>
      </c>
      <c r="G4" s="654">
        <v>2515</v>
      </c>
      <c r="H4" s="653"/>
      <c r="J4" s="653"/>
      <c r="K4" s="653"/>
    </row>
    <row r="5" spans="1:11" x14ac:dyDescent="0.5">
      <c r="A5" s="653" t="s">
        <v>310</v>
      </c>
      <c r="B5" s="654">
        <v>38210</v>
      </c>
      <c r="C5" s="654">
        <v>4529</v>
      </c>
      <c r="D5" s="654">
        <v>1831</v>
      </c>
      <c r="E5" s="654">
        <v>4236</v>
      </c>
      <c r="F5" s="654">
        <v>7791</v>
      </c>
      <c r="G5" s="654">
        <v>3895</v>
      </c>
      <c r="H5" s="653"/>
      <c r="I5" s="684"/>
      <c r="J5" s="684"/>
      <c r="K5" s="684"/>
    </row>
    <row r="6" spans="1:11" x14ac:dyDescent="0.5">
      <c r="A6" s="653" t="s">
        <v>311</v>
      </c>
      <c r="B6" s="654">
        <v>34549</v>
      </c>
      <c r="C6" s="654">
        <v>9584</v>
      </c>
      <c r="D6" s="654">
        <v>5647</v>
      </c>
      <c r="E6" s="654">
        <v>7257</v>
      </c>
      <c r="F6" s="654">
        <v>12420</v>
      </c>
      <c r="G6" s="654">
        <v>4031</v>
      </c>
      <c r="H6" s="653"/>
      <c r="I6" s="653"/>
      <c r="J6" s="653"/>
      <c r="K6" s="684"/>
    </row>
    <row r="7" spans="1:11" x14ac:dyDescent="0.5">
      <c r="A7" s="653" t="s">
        <v>312</v>
      </c>
      <c r="B7" s="654">
        <v>35241</v>
      </c>
      <c r="C7" s="654">
        <v>4198</v>
      </c>
      <c r="D7" s="654">
        <v>1305</v>
      </c>
      <c r="E7" s="654">
        <v>5450</v>
      </c>
      <c r="F7" s="654">
        <v>16335</v>
      </c>
      <c r="G7" s="654">
        <v>3297</v>
      </c>
      <c r="H7" s="653"/>
      <c r="I7" s="684"/>
      <c r="J7" s="653"/>
      <c r="K7" s="684"/>
    </row>
    <row r="8" spans="1:11" x14ac:dyDescent="0.5">
      <c r="A8" s="653" t="s">
        <v>313</v>
      </c>
      <c r="B8" s="654">
        <v>19806</v>
      </c>
      <c r="C8" s="654">
        <v>3337</v>
      </c>
      <c r="D8" s="654">
        <v>2149</v>
      </c>
      <c r="E8" s="654">
        <v>3749</v>
      </c>
      <c r="F8" s="654">
        <v>11680</v>
      </c>
      <c r="G8" s="654">
        <v>2507</v>
      </c>
      <c r="H8" s="653"/>
      <c r="I8" s="653"/>
      <c r="J8" s="653"/>
      <c r="K8" s="653"/>
    </row>
    <row r="9" spans="1:11" x14ac:dyDescent="0.5">
      <c r="A9" s="653" t="s">
        <v>314</v>
      </c>
      <c r="B9" s="654">
        <v>23469</v>
      </c>
      <c r="C9" s="654">
        <v>1886</v>
      </c>
      <c r="D9" s="654">
        <v>2494</v>
      </c>
      <c r="E9" s="654">
        <v>5450</v>
      </c>
      <c r="F9" s="654">
        <v>14761</v>
      </c>
      <c r="G9" s="654">
        <v>2748</v>
      </c>
      <c r="H9" s="653"/>
      <c r="I9" s="684"/>
      <c r="J9" s="684"/>
      <c r="K9" s="684"/>
    </row>
    <row r="10" spans="1:11" x14ac:dyDescent="0.5">
      <c r="A10" s="653" t="s">
        <v>315</v>
      </c>
      <c r="B10" s="654">
        <v>38861</v>
      </c>
      <c r="C10" s="654">
        <v>6928</v>
      </c>
      <c r="D10" s="654">
        <v>2914</v>
      </c>
      <c r="E10" s="654">
        <v>5358</v>
      </c>
      <c r="F10" s="654">
        <v>10482</v>
      </c>
      <c r="G10" s="654">
        <v>5270</v>
      </c>
      <c r="H10" s="653"/>
      <c r="I10" s="684"/>
      <c r="J10" s="684"/>
      <c r="K10" s="653"/>
    </row>
    <row r="11" spans="1:11" x14ac:dyDescent="0.5">
      <c r="A11" s="653" t="s">
        <v>316</v>
      </c>
      <c r="B11" s="654">
        <v>30806</v>
      </c>
      <c r="C11" s="654">
        <v>3130</v>
      </c>
      <c r="D11" s="654">
        <v>1595</v>
      </c>
      <c r="E11" s="654">
        <v>2457</v>
      </c>
      <c r="F11" s="654">
        <v>5399</v>
      </c>
      <c r="G11" s="654">
        <v>3757</v>
      </c>
      <c r="H11" s="653"/>
      <c r="I11" s="684"/>
      <c r="J11" s="653"/>
      <c r="K11" s="653"/>
    </row>
    <row r="12" spans="1:11" x14ac:dyDescent="0.5">
      <c r="A12" s="653" t="s">
        <v>317</v>
      </c>
      <c r="B12" s="654">
        <v>12575</v>
      </c>
      <c r="C12" s="654">
        <v>3001</v>
      </c>
      <c r="D12" s="654">
        <v>1565</v>
      </c>
      <c r="E12" s="654">
        <v>1196</v>
      </c>
      <c r="F12" s="654">
        <v>3688</v>
      </c>
      <c r="G12" s="654">
        <v>1641</v>
      </c>
      <c r="H12" s="653"/>
      <c r="I12" s="653"/>
      <c r="J12" s="653"/>
      <c r="K12" s="653"/>
    </row>
    <row r="13" spans="1:11" x14ac:dyDescent="0.5">
      <c r="A13" s="653" t="s">
        <v>318</v>
      </c>
      <c r="B13" s="654">
        <v>10454</v>
      </c>
      <c r="C13" s="654">
        <v>263</v>
      </c>
      <c r="D13" s="655"/>
      <c r="E13" s="654">
        <v>1487</v>
      </c>
      <c r="F13" s="654">
        <v>5034</v>
      </c>
      <c r="G13" s="654"/>
      <c r="I13" s="684"/>
      <c r="K13" s="653"/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>
    <tabColor rgb="FF00B050"/>
  </sheetPr>
  <dimension ref="A1:E14"/>
  <sheetViews>
    <sheetView tabSelected="1" workbookViewId="0">
      <selection activeCell="G4" sqref="G1:G1048576"/>
    </sheetView>
  </sheetViews>
  <sheetFormatPr defaultRowHeight="12.9" x14ac:dyDescent="0.5"/>
  <cols>
    <col min="1" max="5" width="10.64453125" style="683" customWidth="1"/>
    <col min="6" max="16384" width="8.9375" style="683"/>
  </cols>
  <sheetData>
    <row r="1" spans="1:5" x14ac:dyDescent="0.5">
      <c r="A1" s="653" t="s">
        <v>780</v>
      </c>
      <c r="B1" s="616" t="s">
        <v>1009</v>
      </c>
      <c r="C1" s="616" t="s">
        <v>1010</v>
      </c>
      <c r="D1" s="616" t="s">
        <v>1007</v>
      </c>
      <c r="E1" s="616" t="s">
        <v>1008</v>
      </c>
    </row>
    <row r="2" spans="1:5" x14ac:dyDescent="0.5">
      <c r="A2" s="616" t="s">
        <v>980</v>
      </c>
      <c r="B2" s="654">
        <v>600</v>
      </c>
      <c r="C2" s="655"/>
      <c r="D2" s="654">
        <v>400</v>
      </c>
      <c r="E2" s="654">
        <v>700</v>
      </c>
    </row>
    <row r="3" spans="1:5" x14ac:dyDescent="0.5">
      <c r="A3" s="616" t="s">
        <v>308</v>
      </c>
      <c r="B3" s="654">
        <v>1019</v>
      </c>
      <c r="C3" s="655"/>
      <c r="D3" s="654">
        <v>729</v>
      </c>
      <c r="E3" s="654">
        <v>714</v>
      </c>
    </row>
    <row r="4" spans="1:5" x14ac:dyDescent="0.5">
      <c r="A4" s="616" t="s">
        <v>309</v>
      </c>
      <c r="B4" s="654">
        <v>497</v>
      </c>
      <c r="C4" s="655"/>
      <c r="D4" s="654">
        <v>656</v>
      </c>
      <c r="E4" s="654">
        <v>709</v>
      </c>
    </row>
    <row r="5" spans="1:5" x14ac:dyDescent="0.5">
      <c r="A5" s="616" t="s">
        <v>310</v>
      </c>
      <c r="B5" s="654">
        <v>294</v>
      </c>
      <c r="C5" s="654">
        <v>1137</v>
      </c>
      <c r="D5" s="654">
        <v>1102</v>
      </c>
      <c r="E5" s="654">
        <v>2237</v>
      </c>
    </row>
    <row r="6" spans="1:5" x14ac:dyDescent="0.5">
      <c r="A6" s="616" t="s">
        <v>311</v>
      </c>
      <c r="B6" s="654">
        <v>483</v>
      </c>
      <c r="C6" s="654">
        <v>979</v>
      </c>
      <c r="D6" s="654">
        <v>987</v>
      </c>
      <c r="E6" s="654">
        <v>2189</v>
      </c>
    </row>
    <row r="7" spans="1:5" x14ac:dyDescent="0.5">
      <c r="A7" s="616" t="s">
        <v>312</v>
      </c>
      <c r="B7" s="654">
        <v>784</v>
      </c>
      <c r="C7" s="654">
        <v>2399</v>
      </c>
      <c r="D7" s="654">
        <v>770</v>
      </c>
      <c r="E7" s="654">
        <v>1420</v>
      </c>
    </row>
    <row r="8" spans="1:5" x14ac:dyDescent="0.5">
      <c r="A8" s="616" t="s">
        <v>313</v>
      </c>
      <c r="B8" s="654">
        <v>400</v>
      </c>
      <c r="C8" s="654">
        <v>999</v>
      </c>
      <c r="D8" s="654">
        <v>494</v>
      </c>
      <c r="E8" s="654">
        <v>931</v>
      </c>
    </row>
    <row r="9" spans="1:5" x14ac:dyDescent="0.5">
      <c r="A9" s="616" t="s">
        <v>314</v>
      </c>
      <c r="B9" s="654">
        <v>543</v>
      </c>
      <c r="C9" s="654">
        <v>1146</v>
      </c>
      <c r="D9" s="654">
        <v>1002</v>
      </c>
      <c r="E9" s="654">
        <v>1151</v>
      </c>
    </row>
    <row r="10" spans="1:5" x14ac:dyDescent="0.5">
      <c r="A10" s="616" t="s">
        <v>315</v>
      </c>
      <c r="B10" s="654">
        <v>406</v>
      </c>
      <c r="C10" s="654">
        <v>2815</v>
      </c>
      <c r="D10" s="654">
        <v>1113</v>
      </c>
      <c r="E10" s="654">
        <v>939</v>
      </c>
    </row>
    <row r="11" spans="1:5" x14ac:dyDescent="0.5">
      <c r="A11" s="616" t="s">
        <v>316</v>
      </c>
      <c r="B11" s="685"/>
      <c r="C11" s="654">
        <v>3202</v>
      </c>
      <c r="D11" s="654">
        <v>942</v>
      </c>
      <c r="E11" s="654">
        <v>367</v>
      </c>
    </row>
    <row r="12" spans="1:5" x14ac:dyDescent="0.5">
      <c r="A12" s="616" t="s">
        <v>317</v>
      </c>
      <c r="B12" s="685"/>
      <c r="C12" s="654">
        <v>512</v>
      </c>
      <c r="D12" s="654">
        <v>469</v>
      </c>
      <c r="E12" s="654">
        <v>330</v>
      </c>
    </row>
    <row r="13" spans="1:5" x14ac:dyDescent="0.5">
      <c r="A13" s="616" t="s">
        <v>318</v>
      </c>
      <c r="B13" s="685"/>
      <c r="C13" s="654">
        <v>1725</v>
      </c>
      <c r="D13" s="655"/>
      <c r="E13" s="654"/>
    </row>
    <row r="14" spans="1:5" x14ac:dyDescent="0.5">
      <c r="A14" s="616" t="s">
        <v>326</v>
      </c>
      <c r="B14" s="685"/>
      <c r="C14" s="654">
        <v>973</v>
      </c>
      <c r="D14" s="655"/>
      <c r="E14" s="654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>
    <tabColor rgb="FF00B050"/>
  </sheetPr>
  <dimension ref="B2:L88"/>
  <sheetViews>
    <sheetView topLeftCell="A10" zoomScaleNormal="100" workbookViewId="0">
      <selection activeCell="T30" sqref="T30"/>
    </sheetView>
  </sheetViews>
  <sheetFormatPr defaultRowHeight="12.9" x14ac:dyDescent="0.5"/>
  <sheetData>
    <row r="2" spans="2:2" x14ac:dyDescent="0.5">
      <c r="B2" t="s">
        <v>51</v>
      </c>
    </row>
    <row r="21" spans="3:12" ht="14.4" x14ac:dyDescent="0.5">
      <c r="C21" s="336" t="s">
        <v>328</v>
      </c>
    </row>
    <row r="23" spans="3:12" ht="14.4" x14ac:dyDescent="0.5">
      <c r="L23" s="336" t="s">
        <v>329</v>
      </c>
    </row>
    <row r="41" spans="3:12" ht="14.4" x14ac:dyDescent="0.5">
      <c r="C41" s="336" t="s">
        <v>330</v>
      </c>
    </row>
    <row r="45" spans="3:12" ht="14.4" x14ac:dyDescent="0.5">
      <c r="L45" s="336" t="s">
        <v>331</v>
      </c>
    </row>
    <row r="66" spans="3:12" ht="14.4" x14ac:dyDescent="0.5">
      <c r="L66" s="336" t="s">
        <v>332</v>
      </c>
    </row>
    <row r="67" spans="3:12" ht="14.4" x14ac:dyDescent="0.5">
      <c r="C67" s="336" t="s">
        <v>333</v>
      </c>
    </row>
    <row r="88" spans="3:3" ht="14.4" x14ac:dyDescent="0.5">
      <c r="C88" s="336" t="s">
        <v>334</v>
      </c>
    </row>
  </sheetData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tabColor rgb="FF00B050"/>
  </sheetPr>
  <dimension ref="B2:K37"/>
  <sheetViews>
    <sheetView workbookViewId="0">
      <selection activeCell="G25" sqref="G25"/>
    </sheetView>
  </sheetViews>
  <sheetFormatPr defaultRowHeight="12.9" x14ac:dyDescent="0.5"/>
  <cols>
    <col min="2" max="2" width="18.3515625" customWidth="1"/>
    <col min="3" max="3" width="17.3515625" customWidth="1"/>
  </cols>
  <sheetData>
    <row r="2" spans="2:9" ht="14.4" x14ac:dyDescent="0.5">
      <c r="B2" s="336" t="s">
        <v>335</v>
      </c>
    </row>
    <row r="3" spans="2:9" ht="13.2" thickBot="1" x14ac:dyDescent="0.55000000000000004"/>
    <row r="4" spans="2:9" ht="13.2" thickBot="1" x14ac:dyDescent="0.55000000000000004">
      <c r="B4" s="755" t="s">
        <v>336</v>
      </c>
      <c r="C4" s="756"/>
      <c r="D4" s="756"/>
      <c r="E4" s="756"/>
      <c r="F4" s="757"/>
      <c r="G4" s="757"/>
      <c r="H4" s="756"/>
      <c r="I4" s="758"/>
    </row>
    <row r="5" spans="2:9" ht="13.5" thickTop="1" thickBot="1" x14ac:dyDescent="0.55000000000000004">
      <c r="B5" s="221" t="s">
        <v>578</v>
      </c>
      <c r="C5" s="116"/>
      <c r="D5" s="759" t="s">
        <v>337</v>
      </c>
      <c r="E5" s="760"/>
      <c r="F5" s="761" t="s">
        <v>338</v>
      </c>
      <c r="G5" s="762"/>
      <c r="H5" s="760" t="s">
        <v>339</v>
      </c>
      <c r="I5" s="763"/>
    </row>
    <row r="6" spans="2:9" ht="13.2" thickBot="1" x14ac:dyDescent="0.55000000000000004">
      <c r="B6" s="546" t="s">
        <v>340</v>
      </c>
      <c r="C6" s="547"/>
      <c r="D6" s="541" t="s">
        <v>341</v>
      </c>
      <c r="E6" s="541" t="s">
        <v>259</v>
      </c>
      <c r="F6" s="216" t="s">
        <v>341</v>
      </c>
      <c r="G6" s="492" t="s">
        <v>259</v>
      </c>
      <c r="H6" s="541" t="s">
        <v>341</v>
      </c>
      <c r="I6" s="492" t="s">
        <v>342</v>
      </c>
    </row>
    <row r="7" spans="2:9" x14ac:dyDescent="0.5">
      <c r="B7" s="545" t="s">
        <v>343</v>
      </c>
      <c r="C7" s="116"/>
      <c r="D7" s="544" t="s">
        <v>467</v>
      </c>
      <c r="E7" s="563" t="e">
        <f>'T2'!#REF!</f>
        <v>#REF!</v>
      </c>
      <c r="F7" s="553">
        <v>1.7000000000000001E-2</v>
      </c>
      <c r="G7" s="538" t="e">
        <f>'T2'!#REF!</f>
        <v>#REF!</v>
      </c>
      <c r="H7" s="544" t="s">
        <v>580</v>
      </c>
      <c r="I7" s="562" t="e">
        <f>E7+G7</f>
        <v>#REF!</v>
      </c>
    </row>
    <row r="8" spans="2:9" x14ac:dyDescent="0.5">
      <c r="B8" s="545" t="s">
        <v>344</v>
      </c>
      <c r="C8" s="116"/>
      <c r="D8" s="544" t="s">
        <v>467</v>
      </c>
      <c r="E8" s="563">
        <f>'T2'!I12</f>
        <v>9.9851176154059265E-2</v>
      </c>
      <c r="F8" s="553">
        <v>1.7000000000000001E-2</v>
      </c>
      <c r="G8" s="554">
        <v>9.4000000000000004E-3</v>
      </c>
      <c r="H8" s="544" t="s">
        <v>580</v>
      </c>
      <c r="I8" s="562">
        <f>E8+G8</f>
        <v>0.10925117615405927</v>
      </c>
    </row>
    <row r="9" spans="2:9" x14ac:dyDescent="0.5">
      <c r="B9" s="545" t="s">
        <v>345</v>
      </c>
      <c r="C9" s="116" t="s">
        <v>346</v>
      </c>
      <c r="D9" s="544" t="s">
        <v>347</v>
      </c>
      <c r="E9" s="544" t="s">
        <v>347</v>
      </c>
      <c r="F9" s="555">
        <v>0.15</v>
      </c>
      <c r="G9" s="554">
        <v>6.0999999999999999E-2</v>
      </c>
      <c r="H9" s="32"/>
      <c r="I9" s="26"/>
    </row>
    <row r="10" spans="2:9" x14ac:dyDescent="0.5">
      <c r="B10" s="545" t="s">
        <v>298</v>
      </c>
      <c r="C10" s="116" t="s">
        <v>346</v>
      </c>
      <c r="D10" s="544" t="s">
        <v>347</v>
      </c>
      <c r="E10" s="544" t="s">
        <v>347</v>
      </c>
      <c r="F10" s="212" t="s">
        <v>348</v>
      </c>
      <c r="G10" s="556"/>
      <c r="H10" s="32"/>
      <c r="I10" s="26"/>
    </row>
    <row r="11" spans="2:9" x14ac:dyDescent="0.5">
      <c r="B11" s="545"/>
      <c r="C11" s="116" t="s">
        <v>349</v>
      </c>
      <c r="D11" s="544" t="s">
        <v>347</v>
      </c>
      <c r="E11" s="544" t="s">
        <v>347</v>
      </c>
      <c r="F11" s="213" t="s">
        <v>350</v>
      </c>
      <c r="G11" s="554">
        <v>0.34499999999999997</v>
      </c>
      <c r="H11" s="32"/>
      <c r="I11" s="26"/>
    </row>
    <row r="12" spans="2:9" x14ac:dyDescent="0.5">
      <c r="B12" s="545"/>
      <c r="C12" s="116" t="s">
        <v>351</v>
      </c>
      <c r="D12" s="544" t="s">
        <v>347</v>
      </c>
      <c r="E12" s="544" t="s">
        <v>347</v>
      </c>
      <c r="F12" s="212" t="s">
        <v>352</v>
      </c>
      <c r="G12" s="564">
        <v>5203</v>
      </c>
      <c r="H12" s="32"/>
      <c r="I12" s="26"/>
    </row>
    <row r="13" spans="2:9" x14ac:dyDescent="0.5">
      <c r="B13" s="545" t="s">
        <v>353</v>
      </c>
      <c r="C13" s="116"/>
      <c r="D13" s="535">
        <v>0.23</v>
      </c>
      <c r="E13" s="535">
        <f>'T12'!C12</f>
        <v>0.20219999999999999</v>
      </c>
      <c r="F13" s="555">
        <v>8.2500000000000004E-2</v>
      </c>
      <c r="G13" s="565">
        <f>'T12'!B12</f>
        <v>9.35E-2</v>
      </c>
      <c r="H13" s="499">
        <f>D13+F13</f>
        <v>0.3125</v>
      </c>
      <c r="I13" s="538">
        <f>E13+G13</f>
        <v>0.29569999999999996</v>
      </c>
    </row>
    <row r="14" spans="2:9" x14ac:dyDescent="0.5">
      <c r="B14" s="545" t="s">
        <v>302</v>
      </c>
      <c r="C14" s="116"/>
      <c r="D14" s="544" t="s">
        <v>347</v>
      </c>
      <c r="E14" s="544" t="s">
        <v>347</v>
      </c>
      <c r="F14" s="557">
        <v>0.18</v>
      </c>
      <c r="G14" s="554">
        <v>0.108</v>
      </c>
      <c r="H14" s="32"/>
      <c r="I14" s="26"/>
    </row>
    <row r="15" spans="2:9" x14ac:dyDescent="0.5">
      <c r="B15" s="545" t="s">
        <v>303</v>
      </c>
      <c r="C15" s="116"/>
      <c r="D15" s="544" t="s">
        <v>347</v>
      </c>
      <c r="E15" s="544" t="s">
        <v>347</v>
      </c>
      <c r="F15" s="557">
        <v>0.05</v>
      </c>
      <c r="G15" s="554">
        <v>0</v>
      </c>
      <c r="H15" s="535">
        <v>0.05</v>
      </c>
      <c r="I15" s="26"/>
    </row>
    <row r="16" spans="2:9" ht="13.2" thickBot="1" x14ac:dyDescent="0.55000000000000004">
      <c r="B16" s="546" t="s">
        <v>96</v>
      </c>
      <c r="C16" s="547"/>
      <c r="D16" s="532">
        <v>7.0000000000000007E-2</v>
      </c>
      <c r="E16" s="532">
        <f>T8Manip!H18</f>
        <v>3.6621406258331005E-2</v>
      </c>
      <c r="F16" s="558">
        <v>0.01</v>
      </c>
      <c r="G16" s="559">
        <f>T8Manip!G18</f>
        <v>5.0423181713794699E-4</v>
      </c>
      <c r="H16" s="532">
        <v>0.08</v>
      </c>
      <c r="I16" s="550">
        <f>E16+G16</f>
        <v>3.7125638075468953E-2</v>
      </c>
    </row>
    <row r="17" spans="2:11" x14ac:dyDescent="0.5">
      <c r="B17" s="221" t="s">
        <v>579</v>
      </c>
      <c r="C17" s="116"/>
      <c r="D17" s="544"/>
      <c r="E17" s="544"/>
      <c r="F17" s="213"/>
      <c r="G17" s="560"/>
      <c r="H17" s="544"/>
      <c r="I17" s="543"/>
    </row>
    <row r="18" spans="2:11" ht="31.5" x14ac:dyDescent="0.5">
      <c r="B18" s="545" t="s">
        <v>299</v>
      </c>
      <c r="C18" s="123" t="s">
        <v>581</v>
      </c>
      <c r="D18" s="544" t="s">
        <v>347</v>
      </c>
      <c r="E18" s="544" t="s">
        <v>347</v>
      </c>
      <c r="F18" s="553">
        <v>0.02</v>
      </c>
      <c r="G18" s="554">
        <v>3.5999999999999999E-3</v>
      </c>
      <c r="H18" s="32"/>
      <c r="I18" s="26"/>
    </row>
    <row r="19" spans="2:11" ht="31.5" x14ac:dyDescent="0.5">
      <c r="B19" s="545" t="s">
        <v>299</v>
      </c>
      <c r="C19" s="123" t="s">
        <v>582</v>
      </c>
      <c r="D19" s="544" t="s">
        <v>347</v>
      </c>
      <c r="E19" s="544" t="s">
        <v>347</v>
      </c>
      <c r="F19" s="553">
        <v>0.02</v>
      </c>
      <c r="G19" s="554">
        <v>8.0000000000000004E-4</v>
      </c>
      <c r="H19" s="32"/>
      <c r="I19" s="26"/>
    </row>
    <row r="20" spans="2:11" ht="21" x14ac:dyDescent="0.5">
      <c r="B20" s="545" t="s">
        <v>299</v>
      </c>
      <c r="C20" s="123" t="s">
        <v>583</v>
      </c>
      <c r="D20" s="32"/>
      <c r="E20" s="32"/>
      <c r="F20" s="553">
        <v>0.02</v>
      </c>
      <c r="G20" s="554">
        <v>1.35E-2</v>
      </c>
      <c r="H20" s="32"/>
      <c r="I20" s="26"/>
      <c r="K20" t="s">
        <v>587</v>
      </c>
    </row>
    <row r="21" spans="2:11" ht="21" x14ac:dyDescent="0.5">
      <c r="B21" s="545" t="s">
        <v>299</v>
      </c>
      <c r="C21" s="123" t="s">
        <v>584</v>
      </c>
      <c r="D21" s="32"/>
      <c r="E21" s="32"/>
      <c r="F21" s="553">
        <v>0.02</v>
      </c>
      <c r="G21" s="554">
        <v>1.0200000000000001E-2</v>
      </c>
      <c r="H21" s="32"/>
      <c r="I21" s="26"/>
      <c r="K21" t="s">
        <v>586</v>
      </c>
    </row>
    <row r="22" spans="2:11" ht="31.5" x14ac:dyDescent="0.5">
      <c r="B22" s="545" t="s">
        <v>299</v>
      </c>
      <c r="C22" s="123" t="s">
        <v>585</v>
      </c>
      <c r="D22" s="551">
        <v>0.13</v>
      </c>
      <c r="E22" s="552" t="e">
        <f>#REF!</f>
        <v>#REF!</v>
      </c>
      <c r="F22" s="553" t="s">
        <v>347</v>
      </c>
      <c r="G22" s="554" t="s">
        <v>347</v>
      </c>
      <c r="H22" s="32"/>
      <c r="I22" s="26"/>
    </row>
    <row r="23" spans="2:11" ht="21" x14ac:dyDescent="0.5">
      <c r="B23" s="531" t="s">
        <v>354</v>
      </c>
      <c r="C23" s="123" t="s">
        <v>355</v>
      </c>
      <c r="D23" s="544" t="s">
        <v>347</v>
      </c>
      <c r="E23" s="544" t="s">
        <v>347</v>
      </c>
      <c r="F23" s="553">
        <v>0.02</v>
      </c>
      <c r="G23" s="554">
        <v>3.5999999999999999E-3</v>
      </c>
      <c r="H23" s="32"/>
      <c r="I23" s="26"/>
    </row>
    <row r="24" spans="2:11" ht="21" x14ac:dyDescent="0.5">
      <c r="B24" s="531" t="s">
        <v>354</v>
      </c>
      <c r="C24" s="123" t="s">
        <v>356</v>
      </c>
      <c r="D24" s="32"/>
      <c r="E24" s="32"/>
      <c r="F24" s="553">
        <v>0.02</v>
      </c>
      <c r="G24" s="554">
        <v>1.35E-2</v>
      </c>
      <c r="H24" s="32"/>
      <c r="I24" s="26"/>
    </row>
    <row r="25" spans="2:11" ht="31.5" x14ac:dyDescent="0.5">
      <c r="B25" s="531" t="s">
        <v>300</v>
      </c>
      <c r="C25" s="123" t="s">
        <v>357</v>
      </c>
      <c r="D25" s="544" t="s">
        <v>347</v>
      </c>
      <c r="E25" s="544" t="s">
        <v>347</v>
      </c>
      <c r="F25" s="553">
        <v>0.02</v>
      </c>
      <c r="G25" s="554">
        <v>3.5999999999999999E-3</v>
      </c>
      <c r="H25" s="32"/>
      <c r="I25" s="26"/>
    </row>
    <row r="26" spans="2:11" ht="21" x14ac:dyDescent="0.5">
      <c r="B26" s="531" t="s">
        <v>300</v>
      </c>
      <c r="C26" s="123" t="s">
        <v>358</v>
      </c>
      <c r="D26" s="544" t="s">
        <v>347</v>
      </c>
      <c r="E26" s="544" t="s">
        <v>347</v>
      </c>
      <c r="F26" s="553">
        <v>0.02</v>
      </c>
      <c r="G26" s="554">
        <v>1.35E-2</v>
      </c>
      <c r="H26" s="32"/>
      <c r="I26" s="26"/>
    </row>
    <row r="27" spans="2:11" ht="21" x14ac:dyDescent="0.5">
      <c r="B27" s="531" t="s">
        <v>300</v>
      </c>
      <c r="C27" s="123" t="s">
        <v>359</v>
      </c>
      <c r="D27" s="544" t="s">
        <v>347</v>
      </c>
      <c r="E27" s="544" t="s">
        <v>347</v>
      </c>
      <c r="F27" s="553">
        <v>0.02</v>
      </c>
      <c r="G27" s="554">
        <v>2.5999999999999999E-3</v>
      </c>
      <c r="H27" s="32"/>
      <c r="I27" s="26"/>
    </row>
    <row r="28" spans="2:11" ht="21" x14ac:dyDescent="0.5">
      <c r="B28" s="531" t="s">
        <v>301</v>
      </c>
      <c r="C28" s="123" t="s">
        <v>360</v>
      </c>
      <c r="D28" s="544" t="s">
        <v>347</v>
      </c>
      <c r="E28" s="544" t="s">
        <v>347</v>
      </c>
      <c r="F28" s="553">
        <v>0.02</v>
      </c>
      <c r="G28" s="554">
        <v>7.4000000000000003E-3</v>
      </c>
      <c r="H28" s="32"/>
      <c r="I28" s="26"/>
    </row>
    <row r="29" spans="2:11" ht="21" x14ac:dyDescent="0.5">
      <c r="B29" s="531" t="s">
        <v>301</v>
      </c>
      <c r="C29" s="123" t="s">
        <v>361</v>
      </c>
      <c r="D29" s="544" t="s">
        <v>347</v>
      </c>
      <c r="E29" s="544" t="s">
        <v>347</v>
      </c>
      <c r="F29" s="553">
        <v>0.02</v>
      </c>
      <c r="G29" s="554">
        <v>0</v>
      </c>
      <c r="H29" s="32"/>
      <c r="I29" s="26"/>
    </row>
    <row r="30" spans="2:11" ht="21" x14ac:dyDescent="0.5">
      <c r="B30" s="531" t="s">
        <v>301</v>
      </c>
      <c r="C30" s="123" t="s">
        <v>359</v>
      </c>
      <c r="D30" s="544" t="s">
        <v>347</v>
      </c>
      <c r="E30" s="544" t="s">
        <v>347</v>
      </c>
      <c r="F30" s="553">
        <v>0.02</v>
      </c>
      <c r="G30" s="554">
        <v>2.5999999999999999E-3</v>
      </c>
      <c r="H30" s="32"/>
      <c r="I30" s="26"/>
    </row>
    <row r="31" spans="2:11" ht="21.3" thickBot="1" x14ac:dyDescent="0.55000000000000004">
      <c r="B31" s="531" t="s">
        <v>362</v>
      </c>
      <c r="C31" s="123" t="s">
        <v>359</v>
      </c>
      <c r="D31" s="544" t="s">
        <v>347</v>
      </c>
      <c r="E31" s="544" t="s">
        <v>347</v>
      </c>
      <c r="F31" s="561">
        <v>0.02</v>
      </c>
      <c r="G31" s="559">
        <v>2.5999999999999999E-3</v>
      </c>
      <c r="H31" s="32"/>
      <c r="I31" s="26"/>
    </row>
    <row r="32" spans="2:11" x14ac:dyDescent="0.5">
      <c r="B32" s="764" t="s">
        <v>363</v>
      </c>
      <c r="C32" s="765"/>
      <c r="D32" s="765"/>
      <c r="E32" s="765"/>
      <c r="F32" s="765"/>
      <c r="G32" s="765"/>
      <c r="H32" s="765"/>
      <c r="I32" s="766"/>
    </row>
    <row r="33" spans="2:9" x14ac:dyDescent="0.5">
      <c r="B33" s="749" t="s">
        <v>364</v>
      </c>
      <c r="C33" s="750"/>
      <c r="D33" s="750"/>
      <c r="E33" s="750"/>
      <c r="F33" s="750"/>
      <c r="G33" s="750"/>
      <c r="H33" s="750"/>
      <c r="I33" s="751"/>
    </row>
    <row r="34" spans="2:9" x14ac:dyDescent="0.5">
      <c r="B34" s="749" t="s">
        <v>657</v>
      </c>
      <c r="C34" s="750"/>
      <c r="D34" s="750"/>
      <c r="E34" s="750"/>
      <c r="F34" s="750"/>
      <c r="G34" s="750"/>
      <c r="H34" s="750"/>
      <c r="I34" s="751"/>
    </row>
    <row r="35" spans="2:9" x14ac:dyDescent="0.5">
      <c r="B35" s="749" t="s">
        <v>627</v>
      </c>
      <c r="C35" s="750"/>
      <c r="D35" s="750"/>
      <c r="E35" s="750"/>
      <c r="F35" s="750"/>
      <c r="G35" s="750"/>
      <c r="H35" s="750"/>
      <c r="I35" s="751"/>
    </row>
    <row r="36" spans="2:9" ht="22.5" customHeight="1" thickBot="1" x14ac:dyDescent="0.55000000000000004">
      <c r="B36" s="752" t="s">
        <v>367</v>
      </c>
      <c r="C36" s="753"/>
      <c r="D36" s="753"/>
      <c r="E36" s="753"/>
      <c r="F36" s="753"/>
      <c r="G36" s="753"/>
      <c r="H36" s="753"/>
      <c r="I36" s="754"/>
    </row>
    <row r="37" spans="2:9" x14ac:dyDescent="0.5">
      <c r="B37" s="133" t="s">
        <v>368</v>
      </c>
    </row>
  </sheetData>
  <mergeCells count="9">
    <mergeCell ref="B34:I34"/>
    <mergeCell ref="B35:I35"/>
    <mergeCell ref="B36:I36"/>
    <mergeCell ref="B4:I4"/>
    <mergeCell ref="D5:E5"/>
    <mergeCell ref="F5:G5"/>
    <mergeCell ref="H5:I5"/>
    <mergeCell ref="B32:I32"/>
    <mergeCell ref="B33:I33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B2:I24"/>
  <sheetViews>
    <sheetView workbookViewId="0">
      <selection activeCell="B4" sqref="B4:F20"/>
    </sheetView>
  </sheetViews>
  <sheetFormatPr defaultRowHeight="12.9" x14ac:dyDescent="0.5"/>
  <cols>
    <col min="2" max="2" width="21.87890625" customWidth="1"/>
    <col min="3" max="3" width="17.3515625" customWidth="1"/>
    <col min="5" max="5" width="9.1171875" style="539"/>
  </cols>
  <sheetData>
    <row r="2" spans="2:9" ht="14.4" x14ac:dyDescent="0.5">
      <c r="B2" s="336" t="s">
        <v>626</v>
      </c>
    </row>
    <row r="3" spans="2:9" ht="13.2" thickBot="1" x14ac:dyDescent="0.55000000000000004"/>
    <row r="4" spans="2:9" ht="13.2" thickBot="1" x14ac:dyDescent="0.55000000000000004">
      <c r="B4" s="755" t="s">
        <v>336</v>
      </c>
      <c r="C4" s="756"/>
      <c r="D4" s="756"/>
      <c r="E4" s="756"/>
      <c r="F4" s="758"/>
    </row>
    <row r="5" spans="2:9" ht="13.5" thickTop="1" thickBot="1" x14ac:dyDescent="0.55000000000000004">
      <c r="B5" s="221" t="s">
        <v>578</v>
      </c>
      <c r="C5" s="116"/>
      <c r="D5" s="759" t="s">
        <v>337</v>
      </c>
      <c r="E5" s="760"/>
      <c r="F5" s="763"/>
    </row>
    <row r="6" spans="2:9" ht="13.2" thickBot="1" x14ac:dyDescent="0.55000000000000004">
      <c r="B6" s="546" t="s">
        <v>340</v>
      </c>
      <c r="C6" s="547"/>
      <c r="D6" s="541" t="s">
        <v>341</v>
      </c>
      <c r="E6" s="541" t="s">
        <v>628</v>
      </c>
      <c r="F6" s="492" t="s">
        <v>259</v>
      </c>
    </row>
    <row r="7" spans="2:9" x14ac:dyDescent="0.5">
      <c r="B7" s="221" t="s">
        <v>579</v>
      </c>
      <c r="C7" s="116"/>
      <c r="D7" s="544"/>
      <c r="E7" s="537"/>
      <c r="F7" s="543"/>
    </row>
    <row r="8" spans="2:9" x14ac:dyDescent="0.5">
      <c r="B8" s="531" t="s">
        <v>610</v>
      </c>
      <c r="C8" s="123" t="s">
        <v>611</v>
      </c>
      <c r="D8" s="499">
        <v>3.2500000000000001E-2</v>
      </c>
      <c r="E8" s="537"/>
      <c r="F8" s="543" t="s">
        <v>347</v>
      </c>
      <c r="I8" t="e">
        <f>'T26'!_Ref513151295</f>
        <v>#REF!</v>
      </c>
    </row>
    <row r="9" spans="2:9" x14ac:dyDescent="0.5">
      <c r="B9" s="531" t="s">
        <v>612</v>
      </c>
      <c r="C9" s="123" t="s">
        <v>630</v>
      </c>
      <c r="D9" s="535">
        <v>0.03</v>
      </c>
      <c r="E9" s="536" t="s">
        <v>268</v>
      </c>
      <c r="F9" s="538">
        <v>0</v>
      </c>
      <c r="I9" t="s">
        <v>631</v>
      </c>
    </row>
    <row r="10" spans="2:9" x14ac:dyDescent="0.5">
      <c r="B10" s="531" t="s">
        <v>613</v>
      </c>
      <c r="C10" s="123" t="s">
        <v>630</v>
      </c>
      <c r="D10" s="534">
        <v>0.02</v>
      </c>
      <c r="E10" s="537">
        <v>2018</v>
      </c>
      <c r="F10" s="529"/>
      <c r="I10" t="e">
        <f>'T28'!_Ref513152205</f>
        <v>#REF!</v>
      </c>
    </row>
    <row r="11" spans="2:9" x14ac:dyDescent="0.5">
      <c r="B11" s="531" t="s">
        <v>614</v>
      </c>
      <c r="C11" s="123" t="s">
        <v>624</v>
      </c>
      <c r="D11" s="499">
        <v>9.6000000000000002E-2</v>
      </c>
      <c r="E11" s="537">
        <v>2018</v>
      </c>
      <c r="F11" s="529">
        <f>AVERAGE('T29'!D10:D12)</f>
        <v>5.3204726591397689E-2</v>
      </c>
      <c r="I11" t="e">
        <f>'T29'!_Toc513192406</f>
        <v>#REF!</v>
      </c>
    </row>
    <row r="12" spans="2:9" x14ac:dyDescent="0.5">
      <c r="B12" s="531" t="s">
        <v>615</v>
      </c>
      <c r="C12" s="123" t="s">
        <v>624</v>
      </c>
      <c r="D12" s="499">
        <v>1.6E-2</v>
      </c>
      <c r="E12" s="536" t="s">
        <v>268</v>
      </c>
      <c r="F12" s="538" t="e">
        <f>AVERAGE('T30'!#REF!)</f>
        <v>#REF!</v>
      </c>
      <c r="I12" t="e">
        <f>'T30'!_Toc513192407</f>
        <v>#REF!</v>
      </c>
    </row>
    <row r="13" spans="2:9" x14ac:dyDescent="0.5">
      <c r="B13" s="531" t="s">
        <v>616</v>
      </c>
      <c r="C13" s="123" t="s">
        <v>624</v>
      </c>
      <c r="D13" s="499">
        <v>5.0000000000000001E-3</v>
      </c>
      <c r="E13" s="537">
        <v>2018</v>
      </c>
      <c r="F13" s="538">
        <v>0</v>
      </c>
      <c r="I13" t="s">
        <v>631</v>
      </c>
    </row>
    <row r="14" spans="2:9" x14ac:dyDescent="0.5">
      <c r="B14" s="531" t="s">
        <v>617</v>
      </c>
      <c r="C14" s="123" t="s">
        <v>624</v>
      </c>
      <c r="D14" s="499">
        <v>6.2E-2</v>
      </c>
      <c r="E14" s="536" t="s">
        <v>268</v>
      </c>
      <c r="F14" s="538" t="e">
        <f>AVERAGE('T30'!#REF!)</f>
        <v>#REF!</v>
      </c>
      <c r="I14" t="e">
        <f>'T30'!_Toc513192407</f>
        <v>#REF!</v>
      </c>
    </row>
    <row r="15" spans="2:9" x14ac:dyDescent="0.5">
      <c r="B15" s="531" t="s">
        <v>619</v>
      </c>
      <c r="C15" s="123" t="s">
        <v>624</v>
      </c>
      <c r="D15" s="534">
        <v>0.02</v>
      </c>
      <c r="E15" s="537">
        <v>2018</v>
      </c>
      <c r="F15" s="538">
        <v>0</v>
      </c>
      <c r="I15" t="s">
        <v>631</v>
      </c>
    </row>
    <row r="16" spans="2:9" x14ac:dyDescent="0.5">
      <c r="B16" s="531" t="s">
        <v>618</v>
      </c>
      <c r="C16" s="123" t="s">
        <v>624</v>
      </c>
      <c r="D16" s="499">
        <v>5.0000000000000001E-3</v>
      </c>
      <c r="E16" s="537">
        <v>2018</v>
      </c>
      <c r="F16" s="538">
        <v>0</v>
      </c>
      <c r="I16" t="e">
        <f>'T32'!_Toc513192409</f>
        <v>#REF!</v>
      </c>
    </row>
    <row r="17" spans="2:9" x14ac:dyDescent="0.5">
      <c r="B17" s="531" t="s">
        <v>620</v>
      </c>
      <c r="C17" s="123" t="s">
        <v>624</v>
      </c>
      <c r="D17" s="499">
        <v>5.0000000000000001E-3</v>
      </c>
      <c r="E17" s="536">
        <v>2018</v>
      </c>
      <c r="F17" s="529">
        <f>AVERAGE('T33'!D9:D11)</f>
        <v>0</v>
      </c>
      <c r="I17" t="e">
        <f>'T33'!_Ref513154026</f>
        <v>#REF!</v>
      </c>
    </row>
    <row r="18" spans="2:9" ht="13.2" thickBot="1" x14ac:dyDescent="0.55000000000000004">
      <c r="B18" s="531"/>
      <c r="C18" s="123"/>
      <c r="D18" s="544"/>
      <c r="E18" s="544"/>
      <c r="F18" s="543"/>
    </row>
    <row r="19" spans="2:9" ht="27" customHeight="1" x14ac:dyDescent="0.5">
      <c r="B19" s="773" t="s">
        <v>625</v>
      </c>
      <c r="C19" s="774"/>
      <c r="D19" s="774"/>
      <c r="E19" s="774"/>
      <c r="F19" s="775"/>
    </row>
    <row r="20" spans="2:9" ht="27.75" customHeight="1" thickBot="1" x14ac:dyDescent="0.55000000000000004">
      <c r="B20" s="770" t="s">
        <v>629</v>
      </c>
      <c r="C20" s="771"/>
      <c r="D20" s="771"/>
      <c r="E20" s="771"/>
      <c r="F20" s="772"/>
    </row>
    <row r="21" spans="2:9" ht="27" customHeight="1" x14ac:dyDescent="0.5">
      <c r="B21" s="767" t="s">
        <v>621</v>
      </c>
      <c r="C21" s="768"/>
      <c r="D21" s="768"/>
      <c r="E21" s="768"/>
      <c r="F21" s="769"/>
    </row>
    <row r="22" spans="2:9" ht="23.25" customHeight="1" x14ac:dyDescent="0.5">
      <c r="B22" s="767" t="s">
        <v>622</v>
      </c>
      <c r="C22" s="768"/>
      <c r="D22" s="768"/>
      <c r="E22" s="768"/>
      <c r="F22" s="769"/>
    </row>
    <row r="23" spans="2:9" ht="22.5" customHeight="1" thickBot="1" x14ac:dyDescent="0.55000000000000004">
      <c r="B23" s="770" t="s">
        <v>623</v>
      </c>
      <c r="C23" s="771"/>
      <c r="D23" s="771"/>
      <c r="E23" s="771"/>
      <c r="F23" s="772"/>
    </row>
    <row r="24" spans="2:9" x14ac:dyDescent="0.5">
      <c r="B24" s="133"/>
    </row>
  </sheetData>
  <mergeCells count="7">
    <mergeCell ref="B22:F22"/>
    <mergeCell ref="B23:F23"/>
    <mergeCell ref="D5:F5"/>
    <mergeCell ref="B4:F4"/>
    <mergeCell ref="B19:F19"/>
    <mergeCell ref="B20:F20"/>
    <mergeCell ref="B21:F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O12"/>
  <sheetViews>
    <sheetView workbookViewId="0">
      <selection activeCell="K1" sqref="K1"/>
    </sheetView>
  </sheetViews>
  <sheetFormatPr defaultColWidth="8.87890625" defaultRowHeight="12.9" x14ac:dyDescent="0.5"/>
  <cols>
    <col min="1" max="11" width="15.76171875" style="583" customWidth="1"/>
    <col min="12" max="12" width="8.87890625" style="161"/>
    <col min="13" max="15" width="15.76171875" style="583" customWidth="1"/>
    <col min="16" max="16384" width="8.87890625" style="161"/>
  </cols>
  <sheetData>
    <row r="1" spans="1:15" s="503" customFormat="1" x14ac:dyDescent="0.5">
      <c r="A1" s="391" t="s">
        <v>82</v>
      </c>
      <c r="B1" s="391" t="s">
        <v>695</v>
      </c>
      <c r="C1" s="391" t="s">
        <v>696</v>
      </c>
      <c r="D1" s="391" t="s">
        <v>697</v>
      </c>
      <c r="E1" s="391" t="s">
        <v>698</v>
      </c>
      <c r="F1" s="391" t="s">
        <v>701</v>
      </c>
      <c r="G1" s="391" t="s">
        <v>699</v>
      </c>
      <c r="H1" s="391" t="s">
        <v>700</v>
      </c>
      <c r="I1" s="391" t="s">
        <v>702</v>
      </c>
      <c r="J1" s="391" t="s">
        <v>703</v>
      </c>
      <c r="K1" s="391" t="s">
        <v>686</v>
      </c>
      <c r="L1" s="190"/>
      <c r="M1" s="391" t="s">
        <v>67</v>
      </c>
      <c r="N1" s="391" t="s">
        <v>83</v>
      </c>
      <c r="O1" s="391" t="s">
        <v>68</v>
      </c>
    </row>
    <row r="2" spans="1:15" x14ac:dyDescent="0.5">
      <c r="A2" s="583">
        <v>2008</v>
      </c>
      <c r="B2" s="608">
        <v>215</v>
      </c>
      <c r="C2" s="608">
        <v>1429</v>
      </c>
      <c r="D2" s="608">
        <v>2140</v>
      </c>
      <c r="E2" s="608">
        <v>0</v>
      </c>
      <c r="F2" s="608">
        <v>997</v>
      </c>
      <c r="G2" s="608">
        <v>9029</v>
      </c>
      <c r="H2" s="608">
        <v>2597</v>
      </c>
      <c r="I2" s="608">
        <v>188</v>
      </c>
      <c r="J2" s="608">
        <v>1861</v>
      </c>
      <c r="K2" s="578">
        <v>18456</v>
      </c>
      <c r="L2" s="186"/>
      <c r="M2" s="578">
        <f t="shared" ref="M2:M4" si="0">B2+C2+D2+F2+H2+I2+J2</f>
        <v>9427</v>
      </c>
      <c r="N2" s="578">
        <f t="shared" ref="N2:N4" si="1">C2+D2+F2+H2+I2+J2</f>
        <v>9212</v>
      </c>
      <c r="O2" s="578">
        <f t="shared" ref="O2:O4" si="2">E2+G2</f>
        <v>9029</v>
      </c>
    </row>
    <row r="3" spans="1:15" x14ac:dyDescent="0.5">
      <c r="A3" s="583">
        <v>2009</v>
      </c>
      <c r="B3" s="608">
        <v>2029</v>
      </c>
      <c r="C3" s="608">
        <v>2546</v>
      </c>
      <c r="D3" s="608">
        <v>2341</v>
      </c>
      <c r="E3" s="608">
        <v>0</v>
      </c>
      <c r="F3" s="608">
        <v>265</v>
      </c>
      <c r="G3" s="608">
        <v>11650</v>
      </c>
      <c r="H3" s="608">
        <v>2458</v>
      </c>
      <c r="I3" s="608">
        <v>185</v>
      </c>
      <c r="J3" s="608">
        <v>1190</v>
      </c>
      <c r="K3" s="578">
        <v>22664</v>
      </c>
      <c r="L3" s="186"/>
      <c r="M3" s="578">
        <f t="shared" si="0"/>
        <v>11014</v>
      </c>
      <c r="N3" s="578">
        <f t="shared" si="1"/>
        <v>8985</v>
      </c>
      <c r="O3" s="578">
        <f t="shared" si="2"/>
        <v>11650</v>
      </c>
    </row>
    <row r="4" spans="1:15" x14ac:dyDescent="0.5">
      <c r="A4" s="583">
        <v>2010</v>
      </c>
      <c r="B4" s="608">
        <v>48</v>
      </c>
      <c r="C4" s="608">
        <v>4740</v>
      </c>
      <c r="D4" s="608">
        <v>2738</v>
      </c>
      <c r="E4" s="608">
        <v>230</v>
      </c>
      <c r="F4" s="608">
        <v>886</v>
      </c>
      <c r="G4" s="608">
        <v>15569</v>
      </c>
      <c r="H4" s="608">
        <v>2481</v>
      </c>
      <c r="I4" s="608">
        <v>48</v>
      </c>
      <c r="J4" s="608">
        <v>3524</v>
      </c>
      <c r="K4" s="578">
        <v>30264</v>
      </c>
      <c r="L4" s="186"/>
      <c r="M4" s="578">
        <f t="shared" si="0"/>
        <v>14465</v>
      </c>
      <c r="N4" s="578">
        <f t="shared" si="1"/>
        <v>14417</v>
      </c>
      <c r="O4" s="578">
        <f t="shared" si="2"/>
        <v>15799</v>
      </c>
    </row>
    <row r="5" spans="1:15" x14ac:dyDescent="0.5">
      <c r="A5" s="583">
        <v>2011</v>
      </c>
      <c r="B5" s="608">
        <v>3168</v>
      </c>
      <c r="C5" s="608">
        <v>5004</v>
      </c>
      <c r="D5" s="608">
        <v>5576</v>
      </c>
      <c r="E5" s="608">
        <v>0</v>
      </c>
      <c r="F5" s="608">
        <v>389</v>
      </c>
      <c r="G5" s="608">
        <v>20645</v>
      </c>
      <c r="H5" s="608">
        <v>5546</v>
      </c>
      <c r="I5" s="608">
        <v>55</v>
      </c>
      <c r="J5" s="608">
        <v>1208</v>
      </c>
      <c r="K5" s="578">
        <v>41591</v>
      </c>
      <c r="L5" s="186"/>
      <c r="M5" s="578">
        <f t="shared" ref="M5:M8" si="3">B5+C5+D5+F5+H5+I5+J5</f>
        <v>20946</v>
      </c>
      <c r="N5" s="578">
        <f t="shared" ref="N5:N8" si="4">C5+D5+F5+H5+I5+J5</f>
        <v>17778</v>
      </c>
      <c r="O5" s="578">
        <f t="shared" ref="O5:O8" si="5">E5+G5</f>
        <v>20645</v>
      </c>
    </row>
    <row r="6" spans="1:15" x14ac:dyDescent="0.5">
      <c r="A6" s="583">
        <v>2012</v>
      </c>
      <c r="B6" s="608">
        <v>4175</v>
      </c>
      <c r="C6" s="608">
        <v>1715</v>
      </c>
      <c r="D6" s="608">
        <v>3281</v>
      </c>
      <c r="E6" s="608">
        <v>0</v>
      </c>
      <c r="F6" s="608">
        <v>296</v>
      </c>
      <c r="G6" s="608">
        <v>7824</v>
      </c>
      <c r="H6" s="608">
        <v>3980</v>
      </c>
      <c r="I6" s="608">
        <v>23</v>
      </c>
      <c r="J6" s="608">
        <v>3400</v>
      </c>
      <c r="K6" s="578">
        <v>24694</v>
      </c>
      <c r="L6" s="186"/>
      <c r="M6" s="578">
        <f t="shared" si="3"/>
        <v>16870</v>
      </c>
      <c r="N6" s="578">
        <f t="shared" si="4"/>
        <v>12695</v>
      </c>
      <c r="O6" s="578">
        <f t="shared" si="5"/>
        <v>7824</v>
      </c>
    </row>
    <row r="7" spans="1:15" x14ac:dyDescent="0.5">
      <c r="A7" s="583">
        <v>2013</v>
      </c>
      <c r="B7" s="608">
        <v>2889</v>
      </c>
      <c r="C7" s="608">
        <v>1987</v>
      </c>
      <c r="D7" s="608">
        <v>2058</v>
      </c>
      <c r="E7" s="608">
        <v>50</v>
      </c>
      <c r="F7" s="608">
        <v>321</v>
      </c>
      <c r="G7" s="608">
        <v>13347</v>
      </c>
      <c r="H7" s="608">
        <v>2899</v>
      </c>
      <c r="I7" s="608">
        <v>240</v>
      </c>
      <c r="J7" s="608">
        <v>3452</v>
      </c>
      <c r="K7" s="578">
        <v>27243</v>
      </c>
      <c r="L7" s="186"/>
      <c r="M7" s="578">
        <f t="shared" si="3"/>
        <v>13846</v>
      </c>
      <c r="N7" s="578">
        <f t="shared" si="4"/>
        <v>10957</v>
      </c>
      <c r="O7" s="578">
        <f t="shared" si="5"/>
        <v>13397</v>
      </c>
    </row>
    <row r="8" spans="1:15" x14ac:dyDescent="0.5">
      <c r="A8" s="583">
        <v>2014</v>
      </c>
      <c r="B8" s="608">
        <v>8735</v>
      </c>
      <c r="C8" s="578">
        <v>2788</v>
      </c>
      <c r="D8" s="578">
        <v>2385</v>
      </c>
      <c r="E8" s="578">
        <v>210</v>
      </c>
      <c r="F8" s="578">
        <v>453</v>
      </c>
      <c r="G8" s="578">
        <v>19179</v>
      </c>
      <c r="H8" s="578">
        <v>2875</v>
      </c>
      <c r="I8" s="578">
        <v>150</v>
      </c>
      <c r="J8" s="578">
        <v>3574</v>
      </c>
      <c r="K8" s="578">
        <v>40349</v>
      </c>
      <c r="L8" s="186"/>
      <c r="M8" s="578">
        <f t="shared" si="3"/>
        <v>20960</v>
      </c>
      <c r="N8" s="578">
        <f t="shared" si="4"/>
        <v>12225</v>
      </c>
      <c r="O8" s="578">
        <f t="shared" si="5"/>
        <v>19389</v>
      </c>
    </row>
    <row r="9" spans="1:15" x14ac:dyDescent="0.5">
      <c r="A9" s="583">
        <v>2015</v>
      </c>
      <c r="B9" s="608">
        <v>6321</v>
      </c>
      <c r="C9" s="578">
        <v>4043</v>
      </c>
      <c r="D9" s="578">
        <v>6152</v>
      </c>
      <c r="E9" s="578">
        <v>30</v>
      </c>
      <c r="F9" s="578">
        <v>786</v>
      </c>
      <c r="G9" s="578">
        <v>37733</v>
      </c>
      <c r="H9" s="578">
        <v>4823</v>
      </c>
      <c r="I9" s="578">
        <v>284</v>
      </c>
      <c r="J9" s="578">
        <v>10410</v>
      </c>
      <c r="K9" s="578">
        <v>70582</v>
      </c>
      <c r="L9" s="186"/>
      <c r="M9" s="578">
        <f>B9+C9+D9+F9+H9+I9+J9</f>
        <v>32819</v>
      </c>
      <c r="N9" s="578">
        <f>C9+D9+F9+H9+I9+J9</f>
        <v>26498</v>
      </c>
      <c r="O9" s="578">
        <f>E9+G9</f>
        <v>37763</v>
      </c>
    </row>
    <row r="10" spans="1:15" x14ac:dyDescent="0.5">
      <c r="A10" s="583">
        <v>2016</v>
      </c>
      <c r="B10" s="608">
        <v>3395</v>
      </c>
      <c r="C10" s="578">
        <v>3050</v>
      </c>
      <c r="D10" s="578">
        <v>3706</v>
      </c>
      <c r="E10" s="578">
        <v>100</v>
      </c>
      <c r="F10" s="578">
        <v>565</v>
      </c>
      <c r="G10" s="578">
        <v>20415</v>
      </c>
      <c r="H10" s="578">
        <v>4214</v>
      </c>
      <c r="I10" s="578">
        <v>658</v>
      </c>
      <c r="J10" s="578">
        <v>3541</v>
      </c>
      <c r="K10" s="578">
        <v>39644</v>
      </c>
      <c r="L10" s="186"/>
      <c r="M10" s="578">
        <f>B10+C10+D10+F10+H10+I10+J10</f>
        <v>19129</v>
      </c>
      <c r="N10" s="578">
        <f>C10+D10+F10+H10+I10+J10</f>
        <v>15734</v>
      </c>
      <c r="O10" s="578">
        <f>E10+G10</f>
        <v>20515</v>
      </c>
    </row>
    <row r="11" spans="1:15" x14ac:dyDescent="0.5">
      <c r="A11" s="583">
        <v>2017</v>
      </c>
      <c r="B11" s="608">
        <v>7312</v>
      </c>
      <c r="C11" s="578">
        <v>47</v>
      </c>
      <c r="D11" s="578">
        <v>3853.2</v>
      </c>
      <c r="E11" s="578">
        <v>160</v>
      </c>
      <c r="F11" s="578">
        <v>262</v>
      </c>
      <c r="G11" s="578">
        <v>16168</v>
      </c>
      <c r="H11" s="578">
        <v>4325.3500000000004</v>
      </c>
      <c r="I11" s="578">
        <v>158</v>
      </c>
      <c r="J11" s="578">
        <v>1577.84</v>
      </c>
      <c r="K11" s="578">
        <v>33863.39</v>
      </c>
      <c r="L11" s="186"/>
      <c r="M11" s="578">
        <f t="shared" ref="M11" si="6">B11+C11+D11+F11+H11+I11+J11</f>
        <v>17535.39</v>
      </c>
      <c r="N11" s="578">
        <f t="shared" ref="N11:N12" si="7">C11+D11+F11+H11+I11+J11</f>
        <v>10223.39</v>
      </c>
      <c r="O11" s="578">
        <f t="shared" ref="O11:O12" si="8">E11+G11</f>
        <v>16328</v>
      </c>
    </row>
    <row r="12" spans="1:15" x14ac:dyDescent="0.5">
      <c r="A12" s="583">
        <v>2018</v>
      </c>
      <c r="B12" s="608">
        <v>3983.2485797941067</v>
      </c>
      <c r="C12" s="578">
        <v>24</v>
      </c>
      <c r="D12" s="578">
        <v>1140</v>
      </c>
      <c r="E12" s="578">
        <v>50</v>
      </c>
      <c r="F12" s="578">
        <v>134</v>
      </c>
      <c r="G12" s="578">
        <v>9448</v>
      </c>
      <c r="H12" s="578">
        <v>3385</v>
      </c>
      <c r="I12" s="578">
        <v>68</v>
      </c>
      <c r="J12" s="578">
        <v>1268</v>
      </c>
      <c r="K12" s="578">
        <v>19500.248579794104</v>
      </c>
      <c r="L12" s="186"/>
      <c r="M12" s="578">
        <f>B12+C12+D12+F12+H12+I12+J12</f>
        <v>10002.248579794106</v>
      </c>
      <c r="N12" s="578">
        <f t="shared" si="7"/>
        <v>6019</v>
      </c>
      <c r="O12" s="578">
        <f t="shared" si="8"/>
        <v>9498</v>
      </c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B2:G24"/>
  <sheetViews>
    <sheetView workbookViewId="0">
      <selection activeCell="B3" sqref="B3:E24"/>
    </sheetView>
  </sheetViews>
  <sheetFormatPr defaultRowHeight="12.9" x14ac:dyDescent="0.5"/>
  <cols>
    <col min="2" max="2" width="28" customWidth="1"/>
    <col min="3" max="3" width="17.41015625" customWidth="1"/>
  </cols>
  <sheetData>
    <row r="2" spans="2:7" ht="13.2" thickBot="1" x14ac:dyDescent="0.55000000000000004"/>
    <row r="3" spans="2:7" ht="13.2" thickBot="1" x14ac:dyDescent="0.55000000000000004">
      <c r="B3" s="755" t="s">
        <v>336</v>
      </c>
      <c r="C3" s="756"/>
      <c r="D3" s="756"/>
      <c r="E3" s="758"/>
    </row>
    <row r="4" spans="2:7" ht="13.5" thickTop="1" thickBot="1" x14ac:dyDescent="0.55000000000000004">
      <c r="B4" s="221" t="s">
        <v>578</v>
      </c>
      <c r="C4" s="116"/>
      <c r="D4" s="759" t="s">
        <v>660</v>
      </c>
      <c r="E4" s="763"/>
    </row>
    <row r="5" spans="2:7" ht="13.2" thickBot="1" x14ac:dyDescent="0.55000000000000004">
      <c r="B5" s="546" t="s">
        <v>340</v>
      </c>
      <c r="C5" s="547"/>
      <c r="D5" s="541" t="s">
        <v>341</v>
      </c>
      <c r="E5" s="492" t="s">
        <v>259</v>
      </c>
    </row>
    <row r="6" spans="2:7" x14ac:dyDescent="0.5">
      <c r="B6" s="545" t="s">
        <v>343</v>
      </c>
      <c r="C6" s="116"/>
      <c r="D6" s="567" t="e">
        <f>'T45'!#REF!</f>
        <v>#REF!</v>
      </c>
      <c r="E6" s="568">
        <f>'T45'!B12</f>
        <v>5.9999999999999995E-4</v>
      </c>
      <c r="G6" t="e">
        <f>'T45'!_Ref513058402</f>
        <v>#REF!</v>
      </c>
    </row>
    <row r="7" spans="2:7" x14ac:dyDescent="0.5">
      <c r="B7" s="545" t="s">
        <v>344</v>
      </c>
      <c r="C7" s="116"/>
      <c r="D7" s="499" t="e">
        <f>'T45'!#REF!</f>
        <v>#REF!</v>
      </c>
      <c r="E7" s="529">
        <f>'T45'!C12</f>
        <v>5.9999999999999995E-4</v>
      </c>
    </row>
    <row r="8" spans="2:7" x14ac:dyDescent="0.5">
      <c r="B8" s="545" t="s">
        <v>345</v>
      </c>
      <c r="C8" s="116" t="s">
        <v>346</v>
      </c>
      <c r="D8" s="499" t="e">
        <f>'T45'!#REF!</f>
        <v>#REF!</v>
      </c>
      <c r="E8" s="529">
        <f>'T45'!D12</f>
        <v>8.0000000000000004E-4</v>
      </c>
    </row>
    <row r="9" spans="2:7" x14ac:dyDescent="0.5">
      <c r="B9" s="545" t="s">
        <v>298</v>
      </c>
      <c r="C9" s="116" t="s">
        <v>346</v>
      </c>
      <c r="D9" s="499" t="e">
        <f>'T45'!#REF!</f>
        <v>#REF!</v>
      </c>
      <c r="E9" s="529">
        <f>'T45'!E12</f>
        <v>8.0000000000000004E-4</v>
      </c>
    </row>
    <row r="10" spans="2:7" x14ac:dyDescent="0.5">
      <c r="B10" s="545"/>
      <c r="C10" s="116" t="s">
        <v>349</v>
      </c>
      <c r="D10" s="499" t="e">
        <f>'T45'!#REF!</f>
        <v>#REF!</v>
      </c>
      <c r="E10" s="529">
        <f>'T45'!F12</f>
        <v>2.0000000000000001E-4</v>
      </c>
    </row>
    <row r="11" spans="2:7" x14ac:dyDescent="0.5">
      <c r="B11" s="545"/>
      <c r="C11" s="116" t="s">
        <v>351</v>
      </c>
      <c r="D11" s="499" t="e">
        <f>'T45'!#REF!</f>
        <v>#REF!</v>
      </c>
      <c r="E11" s="529">
        <f>'T45'!G12</f>
        <v>0</v>
      </c>
    </row>
    <row r="12" spans="2:7" x14ac:dyDescent="0.5">
      <c r="B12" s="545" t="s">
        <v>353</v>
      </c>
      <c r="C12" s="116"/>
      <c r="D12" s="499" t="e">
        <f>'T45'!#REF!</f>
        <v>#REF!</v>
      </c>
      <c r="E12" s="529">
        <f>'T45'!H12</f>
        <v>1.5E-3</v>
      </c>
    </row>
    <row r="13" spans="2:7" x14ac:dyDescent="0.5">
      <c r="B13" s="545" t="s">
        <v>302</v>
      </c>
      <c r="C13" s="116"/>
      <c r="D13" s="499" t="e">
        <f>'T47'!#REF!</f>
        <v>#REF!</v>
      </c>
      <c r="E13" s="529">
        <f>'T47'!B12</f>
        <v>2.2899999999999999E-3</v>
      </c>
      <c r="G13" t="e">
        <f>'T47'!_Ref513058835</f>
        <v>#REF!</v>
      </c>
    </row>
    <row r="14" spans="2:7" x14ac:dyDescent="0.5">
      <c r="B14" s="545" t="s">
        <v>303</v>
      </c>
      <c r="C14" s="116"/>
      <c r="D14" s="499" t="e">
        <f>'T47'!#REF!</f>
        <v>#REF!</v>
      </c>
      <c r="E14" s="529">
        <f>'T47'!C12</f>
        <v>0</v>
      </c>
    </row>
    <row r="15" spans="2:7" ht="13.2" thickBot="1" x14ac:dyDescent="0.55000000000000004">
      <c r="B15" s="546" t="s">
        <v>96</v>
      </c>
      <c r="C15" s="547"/>
      <c r="D15" s="125" t="e">
        <f>'T47'!#REF!</f>
        <v>#REF!</v>
      </c>
      <c r="E15" s="530">
        <f>'T47'!D12</f>
        <v>3.0000000000000001E-5</v>
      </c>
    </row>
    <row r="16" spans="2:7" x14ac:dyDescent="0.5">
      <c r="B16" s="221" t="s">
        <v>579</v>
      </c>
      <c r="C16" s="116"/>
      <c r="D16" s="544"/>
      <c r="E16" s="543"/>
    </row>
    <row r="17" spans="2:7" x14ac:dyDescent="0.5">
      <c r="B17" s="545" t="s">
        <v>299</v>
      </c>
      <c r="C17" s="123" t="s">
        <v>206</v>
      </c>
      <c r="D17" s="499">
        <v>3.0000000000000001E-3</v>
      </c>
      <c r="E17" s="529">
        <f>'T46'!B11</f>
        <v>1.1E-4</v>
      </c>
      <c r="G17" t="e">
        <f>'T46'!_Toc513192422</f>
        <v>#REF!</v>
      </c>
    </row>
    <row r="18" spans="2:7" x14ac:dyDescent="0.5">
      <c r="B18" s="545" t="s">
        <v>299</v>
      </c>
      <c r="C18" s="123" t="s">
        <v>207</v>
      </c>
      <c r="D18" s="499">
        <v>3.0000000000000001E-3</v>
      </c>
      <c r="E18" s="529">
        <f>'T46'!C11</f>
        <v>5.4000000000000001E-4</v>
      </c>
    </row>
    <row r="19" spans="2:7" x14ac:dyDescent="0.5">
      <c r="B19" s="531" t="s">
        <v>354</v>
      </c>
      <c r="C19" s="123" t="s">
        <v>206</v>
      </c>
      <c r="D19" s="499">
        <v>3.0000000000000001E-3</v>
      </c>
      <c r="E19" s="529">
        <f>'T46'!C11</f>
        <v>5.4000000000000001E-4</v>
      </c>
    </row>
    <row r="20" spans="2:7" x14ac:dyDescent="0.5">
      <c r="B20" s="531" t="s">
        <v>300</v>
      </c>
      <c r="C20" s="123" t="s">
        <v>658</v>
      </c>
      <c r="D20" s="499">
        <v>3.0000000000000001E-3</v>
      </c>
      <c r="E20" s="529">
        <f>'T46'!E11</f>
        <v>0</v>
      </c>
    </row>
    <row r="21" spans="2:7" x14ac:dyDescent="0.5">
      <c r="B21" s="531" t="s">
        <v>300</v>
      </c>
      <c r="C21" s="123" t="s">
        <v>659</v>
      </c>
      <c r="D21" s="499">
        <v>3.0000000000000001E-3</v>
      </c>
      <c r="E21" s="529">
        <f>'T46'!F11</f>
        <v>1.1E-4</v>
      </c>
    </row>
    <row r="22" spans="2:7" x14ac:dyDescent="0.5">
      <c r="B22" s="531" t="s">
        <v>301</v>
      </c>
      <c r="C22" s="123" t="s">
        <v>658</v>
      </c>
      <c r="D22" s="499">
        <v>3.0000000000000001E-3</v>
      </c>
      <c r="E22" s="529">
        <f>'T46'!G11</f>
        <v>1.0774529718272541E-3</v>
      </c>
    </row>
    <row r="23" spans="2:7" x14ac:dyDescent="0.5">
      <c r="B23" s="531" t="s">
        <v>301</v>
      </c>
      <c r="C23" s="123" t="s">
        <v>659</v>
      </c>
      <c r="D23" s="499">
        <v>3.0000000000000001E-3</v>
      </c>
      <c r="E23" s="529">
        <f>'T46'!H11</f>
        <v>0</v>
      </c>
    </row>
    <row r="24" spans="2:7" ht="13.2" thickBot="1" x14ac:dyDescent="0.55000000000000004">
      <c r="B24" s="566" t="s">
        <v>362</v>
      </c>
      <c r="C24" s="497" t="s">
        <v>658</v>
      </c>
      <c r="D24" s="125">
        <v>3.0000000000000001E-3</v>
      </c>
      <c r="E24" s="530">
        <f>'T46'!I11</f>
        <v>1.0774529718272541E-3</v>
      </c>
    </row>
  </sheetData>
  <mergeCells count="2">
    <mergeCell ref="B3:E3"/>
    <mergeCell ref="D4:E4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B2"/>
  <sheetViews>
    <sheetView workbookViewId="0">
      <selection activeCell="P1" sqref="P1:P1048576"/>
    </sheetView>
  </sheetViews>
  <sheetFormatPr defaultRowHeight="12.9" x14ac:dyDescent="0.5"/>
  <sheetData>
    <row r="2" spans="2:2" ht="14.4" x14ac:dyDescent="0.5">
      <c r="B2" s="336" t="s">
        <v>369</v>
      </c>
    </row>
  </sheetData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>
    <tabColor rgb="FFFFFF00"/>
  </sheetPr>
  <dimension ref="B4:Z159"/>
  <sheetViews>
    <sheetView workbookViewId="0">
      <selection activeCell="A43" sqref="A43:XFD43"/>
    </sheetView>
  </sheetViews>
  <sheetFormatPr defaultRowHeight="12.9" x14ac:dyDescent="0.5"/>
  <cols>
    <col min="3" max="3" width="36.52734375" customWidth="1"/>
    <col min="15" max="15" width="34" customWidth="1"/>
  </cols>
  <sheetData>
    <row r="4" spans="3:18" ht="13.2" thickBot="1" x14ac:dyDescent="0.55000000000000004">
      <c r="C4" s="23" t="s">
        <v>370</v>
      </c>
    </row>
    <row r="5" spans="3:18" ht="13.2" thickBot="1" x14ac:dyDescent="0.55000000000000004">
      <c r="C5" s="778" t="s">
        <v>371</v>
      </c>
      <c r="D5" s="778"/>
      <c r="E5" s="778"/>
      <c r="F5" s="778"/>
      <c r="G5" s="778"/>
      <c r="H5" s="778"/>
      <c r="I5" s="778"/>
      <c r="J5" s="778"/>
      <c r="K5" s="778"/>
      <c r="L5" s="778"/>
      <c r="M5" s="778"/>
      <c r="N5" s="778"/>
      <c r="O5" s="778"/>
    </row>
    <row r="6" spans="3:18" ht="13.2" thickBot="1" x14ac:dyDescent="0.55000000000000004">
      <c r="C6" s="95"/>
      <c r="D6" s="139" t="s">
        <v>372</v>
      </c>
      <c r="E6" s="779" t="s">
        <v>304</v>
      </c>
      <c r="F6" s="779"/>
      <c r="G6" s="779"/>
      <c r="H6" s="779"/>
      <c r="I6" s="779"/>
      <c r="J6" s="779"/>
      <c r="K6" s="779"/>
      <c r="L6" s="95"/>
      <c r="M6" s="95"/>
      <c r="N6" s="95"/>
      <c r="O6" s="137"/>
    </row>
    <row r="7" spans="3:18" ht="13.2" thickBot="1" x14ac:dyDescent="0.55000000000000004">
      <c r="C7" s="95" t="s">
        <v>275</v>
      </c>
      <c r="D7" s="134" t="s">
        <v>373</v>
      </c>
      <c r="E7" s="134" t="s">
        <v>308</v>
      </c>
      <c r="F7" s="134" t="s">
        <v>309</v>
      </c>
      <c r="G7" s="134" t="s">
        <v>310</v>
      </c>
      <c r="H7" s="134" t="s">
        <v>311</v>
      </c>
      <c r="I7" s="134" t="s">
        <v>312</v>
      </c>
      <c r="J7" s="134" t="s">
        <v>313</v>
      </c>
      <c r="K7" s="134" t="s">
        <v>314</v>
      </c>
      <c r="L7" s="134" t="s">
        <v>315</v>
      </c>
      <c r="M7" s="134" t="s">
        <v>316</v>
      </c>
      <c r="N7" s="134" t="s">
        <v>317</v>
      </c>
      <c r="O7" s="137"/>
      <c r="R7" t="s">
        <v>374</v>
      </c>
    </row>
    <row r="8" spans="3:18" x14ac:dyDescent="0.5">
      <c r="C8" s="133" t="s">
        <v>375</v>
      </c>
      <c r="D8" s="135">
        <f>'LGR Sthd'!C39</f>
        <v>13788.263157894737</v>
      </c>
      <c r="E8" s="136">
        <f>'LGR Sthd'!C29</f>
        <v>11242</v>
      </c>
      <c r="F8" s="136">
        <f>'LGR Sthd'!C30</f>
        <v>18217</v>
      </c>
      <c r="G8" s="136">
        <f>'LGR Sthd'!C31</f>
        <v>38210</v>
      </c>
      <c r="H8" s="136">
        <f>'LGR Sthd'!C32</f>
        <v>34549</v>
      </c>
      <c r="I8" s="136">
        <f>'LGR Sthd'!C33</f>
        <v>35241</v>
      </c>
      <c r="J8" s="136">
        <f>'LGR Sthd'!C34</f>
        <v>19806</v>
      </c>
      <c r="K8" s="136">
        <f>'LGR Sthd'!C35</f>
        <v>23469</v>
      </c>
      <c r="L8" s="136">
        <f>'LGR Sthd'!T36</f>
        <v>38861</v>
      </c>
      <c r="M8" s="462">
        <f>'LGR Sthd'!T37</f>
        <v>30806</v>
      </c>
      <c r="N8" s="462">
        <f>'LGR Sthd'!T38</f>
        <v>12575</v>
      </c>
      <c r="O8" s="133" t="s">
        <v>319</v>
      </c>
      <c r="P8" t="s">
        <v>376</v>
      </c>
      <c r="R8" t="s">
        <v>377</v>
      </c>
    </row>
    <row r="9" spans="3:18" x14ac:dyDescent="0.5">
      <c r="C9" s="133" t="s">
        <v>378</v>
      </c>
      <c r="D9" s="135">
        <f>'LGR Sthd'!G39</f>
        <v>3922.4210526315787</v>
      </c>
      <c r="E9" s="136">
        <f>'LGR Sthd'!G29</f>
        <v>2924</v>
      </c>
      <c r="F9" s="136">
        <f>'LGR Sthd'!G30</f>
        <v>5659</v>
      </c>
      <c r="G9" s="136">
        <f>'LGR Sthd'!G31</f>
        <v>4529</v>
      </c>
      <c r="H9" s="136">
        <f>'LGR Sthd'!G32</f>
        <v>9584</v>
      </c>
      <c r="I9" s="136">
        <f>'LGR Sthd'!G33</f>
        <v>4198</v>
      </c>
      <c r="J9" s="136">
        <f>'LGR Sthd'!G34</f>
        <v>3337</v>
      </c>
      <c r="K9" s="136">
        <f>'LGR Sthd'!G35</f>
        <v>1886</v>
      </c>
      <c r="L9" s="219">
        <f>'LGR Sthd'!U36</f>
        <v>6928</v>
      </c>
      <c r="M9" s="462">
        <f>'LGR Sthd'!U37</f>
        <v>3130</v>
      </c>
      <c r="N9" s="462">
        <f>'LGR Sthd'!U38</f>
        <v>3001</v>
      </c>
      <c r="O9" s="133" t="s">
        <v>319</v>
      </c>
      <c r="P9" t="s">
        <v>376</v>
      </c>
      <c r="R9" t="s">
        <v>377</v>
      </c>
    </row>
    <row r="10" spans="3:18" ht="13.2" thickBot="1" x14ac:dyDescent="0.55000000000000004">
      <c r="C10" s="133" t="s">
        <v>379</v>
      </c>
      <c r="D10" s="135">
        <v>2400</v>
      </c>
      <c r="E10" s="135">
        <v>2322</v>
      </c>
      <c r="F10" s="135">
        <v>3598</v>
      </c>
      <c r="G10" s="135">
        <v>1831</v>
      </c>
      <c r="H10" s="135">
        <v>5489</v>
      </c>
      <c r="I10" s="135">
        <v>1305</v>
      </c>
      <c r="J10" s="135">
        <v>2149</v>
      </c>
      <c r="K10" s="483">
        <v>2494</v>
      </c>
      <c r="L10" s="138">
        <v>2914</v>
      </c>
      <c r="M10" s="148">
        <v>1595</v>
      </c>
      <c r="N10" s="484">
        <v>1565</v>
      </c>
      <c r="O10" s="133" t="s">
        <v>320</v>
      </c>
      <c r="R10" t="s">
        <v>380</v>
      </c>
    </row>
    <row r="11" spans="3:18" x14ac:dyDescent="0.5">
      <c r="C11" s="133" t="s">
        <v>305</v>
      </c>
      <c r="D11" s="135">
        <v>4100</v>
      </c>
      <c r="E11" s="135">
        <v>3482</v>
      </c>
      <c r="F11" s="135">
        <v>4048</v>
      </c>
      <c r="G11" s="135">
        <v>4236</v>
      </c>
      <c r="H11" s="135">
        <v>7257</v>
      </c>
      <c r="I11" s="135">
        <v>5450</v>
      </c>
      <c r="J11" s="135">
        <v>3749</v>
      </c>
      <c r="K11" s="135">
        <v>5450</v>
      </c>
      <c r="L11" s="140">
        <v>5358</v>
      </c>
      <c r="M11" s="149">
        <v>2457</v>
      </c>
      <c r="N11" s="149"/>
      <c r="O11" s="133" t="s">
        <v>321</v>
      </c>
      <c r="R11" t="s">
        <v>380</v>
      </c>
    </row>
    <row r="12" spans="3:18" x14ac:dyDescent="0.5">
      <c r="C12" s="133" t="s">
        <v>306</v>
      </c>
      <c r="D12" s="135">
        <v>6582</v>
      </c>
      <c r="E12" s="135">
        <v>5109</v>
      </c>
      <c r="F12" s="135">
        <v>12923</v>
      </c>
      <c r="G12" s="135">
        <v>7791</v>
      </c>
      <c r="H12" s="485">
        <v>12420</v>
      </c>
      <c r="I12" s="485">
        <v>16335</v>
      </c>
      <c r="J12" s="485">
        <v>11680</v>
      </c>
      <c r="K12" s="485">
        <v>14761</v>
      </c>
      <c r="L12" s="486">
        <v>10482</v>
      </c>
      <c r="M12" s="486">
        <v>5399</v>
      </c>
      <c r="N12" s="486">
        <v>3688</v>
      </c>
      <c r="O12" s="133" t="s">
        <v>320</v>
      </c>
      <c r="R12" t="s">
        <v>380</v>
      </c>
    </row>
    <row r="13" spans="3:18" x14ac:dyDescent="0.5">
      <c r="C13" s="133" t="s">
        <v>307</v>
      </c>
      <c r="D13" s="135">
        <v>1600</v>
      </c>
      <c r="E13" s="135">
        <v>2232</v>
      </c>
      <c r="F13" s="135">
        <v>2515</v>
      </c>
      <c r="G13" s="135">
        <v>3895</v>
      </c>
      <c r="H13" s="135">
        <v>4031</v>
      </c>
      <c r="I13" s="135">
        <v>3297</v>
      </c>
      <c r="J13" s="135">
        <v>2507</v>
      </c>
      <c r="K13" s="135">
        <v>2748</v>
      </c>
      <c r="L13" s="138">
        <v>5270</v>
      </c>
      <c r="M13" s="148">
        <v>3757</v>
      </c>
      <c r="N13" s="487">
        <v>1641</v>
      </c>
      <c r="O13" s="133" t="s">
        <v>322</v>
      </c>
      <c r="R13" t="s">
        <v>380</v>
      </c>
    </row>
    <row r="14" spans="3:18" x14ac:dyDescent="0.5">
      <c r="C14" s="133" t="s">
        <v>323</v>
      </c>
      <c r="D14" s="132">
        <v>600</v>
      </c>
      <c r="E14" s="462">
        <v>1019.4424843197608</v>
      </c>
      <c r="F14" s="462">
        <v>496.54867256637175</v>
      </c>
      <c r="G14" s="462">
        <v>294.02964008468598</v>
      </c>
      <c r="H14" s="462">
        <v>483.21217930409597</v>
      </c>
      <c r="I14" s="462">
        <v>783.78292098962504</v>
      </c>
      <c r="J14" s="462">
        <v>399.62864721485408</v>
      </c>
      <c r="K14" s="462">
        <v>542.5</v>
      </c>
      <c r="L14" s="462">
        <v>405.51097653292965</v>
      </c>
      <c r="M14" s="148" t="s">
        <v>57</v>
      </c>
      <c r="N14" s="148" t="s">
        <v>57</v>
      </c>
      <c r="O14" s="133" t="s">
        <v>320</v>
      </c>
      <c r="P14" t="s">
        <v>381</v>
      </c>
    </row>
    <row r="15" spans="3:18" x14ac:dyDescent="0.5">
      <c r="C15" s="141"/>
      <c r="D15" s="141"/>
      <c r="E15" s="141"/>
      <c r="F15" s="138"/>
      <c r="G15" s="462">
        <v>1137</v>
      </c>
      <c r="H15" s="462">
        <v>979</v>
      </c>
      <c r="I15" s="462">
        <v>2399</v>
      </c>
      <c r="J15" s="462">
        <v>999</v>
      </c>
      <c r="K15" s="462">
        <v>1146</v>
      </c>
      <c r="L15" s="462">
        <v>2815</v>
      </c>
      <c r="M15" s="462">
        <v>3202</v>
      </c>
      <c r="N15" s="462">
        <v>512</v>
      </c>
      <c r="O15" s="133" t="s">
        <v>327</v>
      </c>
      <c r="R15" t="s">
        <v>161</v>
      </c>
    </row>
    <row r="16" spans="3:18" x14ac:dyDescent="0.5">
      <c r="C16" s="133" t="s">
        <v>324</v>
      </c>
      <c r="D16" s="479">
        <v>400</v>
      </c>
      <c r="E16" s="478">
        <f>N124</f>
        <v>729</v>
      </c>
      <c r="F16" s="283">
        <f>N125</f>
        <v>656</v>
      </c>
      <c r="G16" s="283">
        <f>N126</f>
        <v>1102</v>
      </c>
      <c r="H16" s="283">
        <f>N127</f>
        <v>987</v>
      </c>
      <c r="I16" s="283">
        <f>N128</f>
        <v>770</v>
      </c>
      <c r="J16" s="283">
        <f>N129</f>
        <v>494</v>
      </c>
      <c r="K16" s="283">
        <f>N130</f>
        <v>1002</v>
      </c>
      <c r="L16" s="283">
        <f>N131</f>
        <v>1113</v>
      </c>
      <c r="M16" s="283">
        <f>N132</f>
        <v>942</v>
      </c>
      <c r="N16" s="283">
        <f>N133</f>
        <v>469</v>
      </c>
      <c r="O16" s="133" t="s">
        <v>382</v>
      </c>
      <c r="P16" s="310" t="str">
        <f>HYPERLINK("https://fortress.wa.gov/dfw/score/score/maps/map_details.jsp?geoarea=SRR_UpperColumbia&amp;geocode=srr","1online at: https://fortress.wa.gov/dfw/score/score/maps/map_details.jsp?geoarea=SRR_UpperColumbia&amp;geocode=srr")</f>
        <v>1online at: https://fortress.wa.gov/dfw/score/score/maps/map_details.jsp?geoarea=SRR_UpperColumbia&amp;geocode=srr</v>
      </c>
      <c r="R16" s="90" t="s">
        <v>383</v>
      </c>
    </row>
    <row r="17" spans="2:26" x14ac:dyDescent="0.5">
      <c r="C17" s="133" t="s">
        <v>325</v>
      </c>
      <c r="D17" s="132">
        <v>700</v>
      </c>
      <c r="E17" s="478">
        <f>U150</f>
        <v>714</v>
      </c>
      <c r="F17" s="480">
        <f>U151</f>
        <v>709</v>
      </c>
      <c r="G17" s="481">
        <f>U152</f>
        <v>2237</v>
      </c>
      <c r="H17" s="481">
        <f>U153</f>
        <v>2189</v>
      </c>
      <c r="I17" s="481">
        <f>U154</f>
        <v>1420</v>
      </c>
      <c r="J17" s="480">
        <f>U155</f>
        <v>931</v>
      </c>
      <c r="K17" s="481">
        <f>U156</f>
        <v>1151</v>
      </c>
      <c r="L17" s="480">
        <f>U157</f>
        <v>939</v>
      </c>
      <c r="M17" s="480">
        <f>U158</f>
        <v>367</v>
      </c>
      <c r="N17" s="480">
        <f>U159</f>
        <v>330</v>
      </c>
      <c r="O17" s="133" t="s">
        <v>382</v>
      </c>
      <c r="P17" s="310" t="str">
        <f>HYPERLINK("https://fortress.wa.gov/dfw/score/score/maps/map_details.jsp?geoarea=SRR_UpperColumbia&amp;geocode=srr","1online at: https://fortress.wa.gov/dfw/score/score/maps/map_details.jsp?geoarea=SRR_UpperColumbia&amp;geocode=srr")</f>
        <v>1online at: https://fortress.wa.gov/dfw/score/score/maps/map_details.jsp?geoarea=SRR_UpperColumbia&amp;geocode=srr</v>
      </c>
    </row>
    <row r="23" spans="2:26" ht="15.6" x14ac:dyDescent="0.5">
      <c r="C23" s="780" t="s">
        <v>384</v>
      </c>
      <c r="D23" s="780"/>
      <c r="E23" s="780"/>
      <c r="F23" s="780"/>
      <c r="G23" s="780"/>
      <c r="H23" s="780"/>
      <c r="I23" s="780"/>
      <c r="J23" s="780"/>
      <c r="K23" s="780"/>
      <c r="L23" s="780"/>
      <c r="M23" s="780"/>
      <c r="N23" s="780"/>
      <c r="O23" s="780"/>
      <c r="P23" s="780"/>
      <c r="Q23" s="780"/>
      <c r="Y23" t="s">
        <v>385</v>
      </c>
    </row>
    <row r="24" spans="2:26" ht="40.799999999999997" x14ac:dyDescent="0.5">
      <c r="B24" t="s">
        <v>386</v>
      </c>
      <c r="C24" s="284" t="s">
        <v>269</v>
      </c>
      <c r="D24" s="285" t="s">
        <v>387</v>
      </c>
      <c r="E24" s="285" t="s">
        <v>388</v>
      </c>
      <c r="F24" s="285" t="s">
        <v>389</v>
      </c>
      <c r="G24" s="285" t="s">
        <v>390</v>
      </c>
      <c r="H24" s="285" t="s">
        <v>391</v>
      </c>
      <c r="I24" s="285" t="s">
        <v>392</v>
      </c>
      <c r="J24" s="285" t="s">
        <v>393</v>
      </c>
      <c r="K24" s="285" t="s">
        <v>394</v>
      </c>
      <c r="L24" s="285" t="s">
        <v>395</v>
      </c>
      <c r="M24" s="285" t="s">
        <v>396</v>
      </c>
      <c r="N24" s="285" t="s">
        <v>397</v>
      </c>
      <c r="O24" s="285" t="s">
        <v>398</v>
      </c>
      <c r="P24" s="285" t="s">
        <v>399</v>
      </c>
      <c r="Q24" s="286" t="s">
        <v>400</v>
      </c>
      <c r="Y24" t="s">
        <v>246</v>
      </c>
      <c r="Z24" t="s">
        <v>181</v>
      </c>
    </row>
    <row r="25" spans="2:26" x14ac:dyDescent="0.5">
      <c r="B25">
        <f>SUM(F25:J25)</f>
        <v>2822</v>
      </c>
      <c r="C25" s="287">
        <v>1997</v>
      </c>
      <c r="D25" s="288">
        <v>929</v>
      </c>
      <c r="E25" s="288">
        <v>315</v>
      </c>
      <c r="F25" s="288">
        <v>911</v>
      </c>
      <c r="G25" s="288">
        <v>341</v>
      </c>
      <c r="H25" s="288">
        <v>961</v>
      </c>
      <c r="I25" s="288">
        <v>436</v>
      </c>
      <c r="J25" s="288">
        <v>173</v>
      </c>
      <c r="K25" s="288">
        <v>909</v>
      </c>
      <c r="L25" s="288">
        <v>439</v>
      </c>
      <c r="M25" s="288" t="s">
        <v>401</v>
      </c>
      <c r="N25" s="288">
        <v>310</v>
      </c>
      <c r="O25" s="288">
        <v>268</v>
      </c>
      <c r="P25" s="288">
        <v>233</v>
      </c>
      <c r="Q25" s="289">
        <v>47</v>
      </c>
      <c r="V25">
        <v>2015</v>
      </c>
      <c r="W25" t="s">
        <v>402</v>
      </c>
      <c r="X25" t="s">
        <v>71</v>
      </c>
      <c r="Y25" s="482">
        <v>152</v>
      </c>
      <c r="Z25" s="482">
        <v>485</v>
      </c>
    </row>
    <row r="26" spans="2:26" x14ac:dyDescent="0.5">
      <c r="B26">
        <f t="shared" ref="B26:B42" si="0">SUM(F26:J26)</f>
        <v>2874</v>
      </c>
      <c r="C26" s="287">
        <v>1998</v>
      </c>
      <c r="D26" s="288">
        <v>471</v>
      </c>
      <c r="E26" s="288">
        <v>369</v>
      </c>
      <c r="F26" s="288">
        <v>625</v>
      </c>
      <c r="G26" s="288">
        <v>704</v>
      </c>
      <c r="H26" s="288">
        <v>978</v>
      </c>
      <c r="I26" s="288">
        <v>457</v>
      </c>
      <c r="J26" s="288">
        <v>110</v>
      </c>
      <c r="K26" s="288">
        <v>769</v>
      </c>
      <c r="L26" s="288">
        <v>568</v>
      </c>
      <c r="M26" s="288" t="s">
        <v>401</v>
      </c>
      <c r="N26" s="288">
        <v>304</v>
      </c>
      <c r="O26" s="288">
        <v>348</v>
      </c>
      <c r="P26" s="288">
        <v>131</v>
      </c>
      <c r="Q26" s="289">
        <v>61</v>
      </c>
      <c r="W26" t="s">
        <v>403</v>
      </c>
      <c r="Y26" s="482">
        <v>150</v>
      </c>
      <c r="Z26" s="482">
        <v>732</v>
      </c>
    </row>
    <row r="27" spans="2:26" x14ac:dyDescent="0.5">
      <c r="B27">
        <f t="shared" si="0"/>
        <v>4894</v>
      </c>
      <c r="C27" s="287">
        <v>1999</v>
      </c>
      <c r="D27" s="290">
        <v>1712</v>
      </c>
      <c r="E27" s="288">
        <v>290</v>
      </c>
      <c r="F27" s="290">
        <v>1894</v>
      </c>
      <c r="G27" s="288">
        <v>326</v>
      </c>
      <c r="H27" s="290">
        <v>1626</v>
      </c>
      <c r="I27" s="288">
        <v>945</v>
      </c>
      <c r="J27" s="288">
        <v>103</v>
      </c>
      <c r="K27" s="290">
        <v>1019</v>
      </c>
      <c r="L27" s="288">
        <v>419</v>
      </c>
      <c r="M27" s="288" t="s">
        <v>401</v>
      </c>
      <c r="N27" s="288">
        <v>329</v>
      </c>
      <c r="O27" s="288">
        <v>335</v>
      </c>
      <c r="P27" s="288">
        <v>201</v>
      </c>
      <c r="Q27" s="289">
        <v>41</v>
      </c>
      <c r="W27" t="s">
        <v>404</v>
      </c>
      <c r="Y27" s="482">
        <v>27</v>
      </c>
      <c r="Z27" s="482">
        <v>109</v>
      </c>
    </row>
    <row r="28" spans="2:26" x14ac:dyDescent="0.5">
      <c r="B28">
        <f t="shared" si="0"/>
        <v>9563</v>
      </c>
      <c r="C28" s="287">
        <v>2000</v>
      </c>
      <c r="D28" s="290">
        <v>2510</v>
      </c>
      <c r="E28" s="288">
        <v>471</v>
      </c>
      <c r="F28" s="290">
        <v>5524</v>
      </c>
      <c r="G28" s="288">
        <v>567</v>
      </c>
      <c r="H28" s="290">
        <v>2143</v>
      </c>
      <c r="I28" s="290">
        <v>1066</v>
      </c>
      <c r="J28" s="288">
        <v>263</v>
      </c>
      <c r="K28" s="290">
        <v>2027</v>
      </c>
      <c r="L28" s="288">
        <v>772</v>
      </c>
      <c r="M28" s="288" t="s">
        <v>401</v>
      </c>
      <c r="N28" s="288">
        <v>507</v>
      </c>
      <c r="O28" s="288">
        <v>397</v>
      </c>
      <c r="P28" s="288">
        <v>434</v>
      </c>
      <c r="Q28" s="289">
        <v>59</v>
      </c>
      <c r="W28" t="s">
        <v>405</v>
      </c>
      <c r="Y28" s="482">
        <v>14</v>
      </c>
      <c r="Z28" s="482">
        <v>18</v>
      </c>
    </row>
    <row r="29" spans="2:26" x14ac:dyDescent="0.5">
      <c r="B29">
        <f t="shared" si="0"/>
        <v>9934</v>
      </c>
      <c r="C29" s="287">
        <v>2001</v>
      </c>
      <c r="D29" s="290">
        <v>8637</v>
      </c>
      <c r="E29" s="288">
        <v>766</v>
      </c>
      <c r="F29" s="290">
        <v>5544</v>
      </c>
      <c r="G29" s="288">
        <v>566</v>
      </c>
      <c r="H29" s="290">
        <v>2235</v>
      </c>
      <c r="I29" s="290">
        <v>1063</v>
      </c>
      <c r="J29" s="288">
        <v>526</v>
      </c>
      <c r="K29" s="290">
        <v>2451</v>
      </c>
      <c r="L29" s="290">
        <v>1118</v>
      </c>
      <c r="M29" s="288" t="s">
        <v>401</v>
      </c>
      <c r="N29" s="288">
        <v>983</v>
      </c>
      <c r="O29" s="288">
        <v>645</v>
      </c>
      <c r="P29" s="288">
        <v>909</v>
      </c>
      <c r="Q29" s="289">
        <v>161</v>
      </c>
      <c r="W29" t="s">
        <v>406</v>
      </c>
      <c r="Y29" s="482">
        <v>1</v>
      </c>
      <c r="Z29" s="482">
        <v>6</v>
      </c>
    </row>
    <row r="30" spans="2:26" x14ac:dyDescent="0.5">
      <c r="B30">
        <f t="shared" si="0"/>
        <v>17204</v>
      </c>
      <c r="C30" s="287">
        <v>2002</v>
      </c>
      <c r="D30" s="290">
        <v>5149</v>
      </c>
      <c r="E30" s="288">
        <v>949</v>
      </c>
      <c r="F30" s="290">
        <v>7381</v>
      </c>
      <c r="G30" s="290">
        <v>1599</v>
      </c>
      <c r="H30" s="290">
        <v>4097</v>
      </c>
      <c r="I30" s="290">
        <v>3140</v>
      </c>
      <c r="J30" s="288">
        <v>987</v>
      </c>
      <c r="K30" s="290">
        <v>3546</v>
      </c>
      <c r="L30" s="290">
        <v>1746</v>
      </c>
      <c r="M30" s="288" t="s">
        <v>401</v>
      </c>
      <c r="N30" s="290">
        <v>1454</v>
      </c>
      <c r="O30" s="290">
        <v>1155</v>
      </c>
      <c r="P30" s="290">
        <v>1129</v>
      </c>
      <c r="Q30" s="289">
        <v>260</v>
      </c>
      <c r="Y30">
        <f>SUM(Y25:Y29)</f>
        <v>344</v>
      </c>
      <c r="Z30">
        <f>SUM(Z25:Z29)</f>
        <v>1350</v>
      </c>
    </row>
    <row r="31" spans="2:26" x14ac:dyDescent="0.5">
      <c r="B31">
        <f t="shared" si="0"/>
        <v>7661</v>
      </c>
      <c r="C31" s="287">
        <v>2003</v>
      </c>
      <c r="D31" s="290">
        <v>3984</v>
      </c>
      <c r="E31" s="290">
        <v>1284</v>
      </c>
      <c r="F31" s="290">
        <v>2200</v>
      </c>
      <c r="G31" s="288">
        <v>771</v>
      </c>
      <c r="H31" s="290">
        <v>2878</v>
      </c>
      <c r="I31" s="290">
        <v>1104</v>
      </c>
      <c r="J31" s="288">
        <v>708</v>
      </c>
      <c r="K31" s="290">
        <v>2014</v>
      </c>
      <c r="L31" s="288">
        <v>905</v>
      </c>
      <c r="M31" s="288" t="s">
        <v>401</v>
      </c>
      <c r="N31" s="288">
        <v>709</v>
      </c>
      <c r="O31" s="288">
        <v>646</v>
      </c>
      <c r="P31" s="288">
        <v>460</v>
      </c>
      <c r="Q31" s="289">
        <v>133</v>
      </c>
    </row>
    <row r="32" spans="2:26" x14ac:dyDescent="0.5">
      <c r="B32">
        <f t="shared" si="0"/>
        <v>3500</v>
      </c>
      <c r="C32" s="287">
        <v>2004</v>
      </c>
      <c r="D32" s="290">
        <v>1847</v>
      </c>
      <c r="E32" s="288">
        <v>516</v>
      </c>
      <c r="F32" s="290">
        <v>1031</v>
      </c>
      <c r="G32" s="288">
        <v>415</v>
      </c>
      <c r="H32" s="290">
        <v>1027</v>
      </c>
      <c r="I32" s="288">
        <v>723</v>
      </c>
      <c r="J32" s="288">
        <v>304</v>
      </c>
      <c r="K32" s="290">
        <v>2001</v>
      </c>
      <c r="L32" s="288">
        <v>602</v>
      </c>
      <c r="M32" s="288" t="s">
        <v>401</v>
      </c>
      <c r="N32" s="288">
        <v>886</v>
      </c>
      <c r="O32" s="288">
        <v>567</v>
      </c>
      <c r="P32" s="288">
        <v>790</v>
      </c>
      <c r="Q32" s="289">
        <v>195</v>
      </c>
    </row>
    <row r="33" spans="2:17" x14ac:dyDescent="0.5">
      <c r="B33">
        <f t="shared" si="0"/>
        <v>3022</v>
      </c>
      <c r="C33" s="287">
        <v>2005</v>
      </c>
      <c r="D33" s="290">
        <v>1802</v>
      </c>
      <c r="E33" s="288">
        <v>562</v>
      </c>
      <c r="F33" s="288">
        <v>516</v>
      </c>
      <c r="G33" s="288">
        <v>392</v>
      </c>
      <c r="H33" s="290">
        <v>1674</v>
      </c>
      <c r="I33" s="288">
        <v>234</v>
      </c>
      <c r="J33" s="288">
        <v>206</v>
      </c>
      <c r="K33" s="290">
        <v>1615</v>
      </c>
      <c r="L33" s="288">
        <v>855</v>
      </c>
      <c r="M33" s="290">
        <v>1577</v>
      </c>
      <c r="N33" s="290">
        <v>1092</v>
      </c>
      <c r="O33" s="288">
        <v>890</v>
      </c>
      <c r="P33" s="288">
        <v>801</v>
      </c>
      <c r="Q33" s="289">
        <v>223</v>
      </c>
    </row>
    <row r="34" spans="2:17" x14ac:dyDescent="0.5">
      <c r="B34">
        <f t="shared" si="0"/>
        <v>1846</v>
      </c>
      <c r="C34" s="287">
        <v>2006</v>
      </c>
      <c r="D34" s="290">
        <v>1000</v>
      </c>
      <c r="E34" s="288">
        <v>452</v>
      </c>
      <c r="F34" s="288">
        <v>508</v>
      </c>
      <c r="G34" s="288">
        <v>148</v>
      </c>
      <c r="H34" s="288">
        <v>707</v>
      </c>
      <c r="I34" s="288">
        <v>214</v>
      </c>
      <c r="J34" s="288">
        <v>269</v>
      </c>
      <c r="K34" s="290">
        <v>1373</v>
      </c>
      <c r="L34" s="288">
        <v>825</v>
      </c>
      <c r="M34" s="290">
        <v>1751</v>
      </c>
      <c r="N34" s="288">
        <v>646</v>
      </c>
      <c r="O34" s="288">
        <v>746</v>
      </c>
      <c r="P34" s="288">
        <v>260</v>
      </c>
      <c r="Q34" s="289">
        <v>123</v>
      </c>
    </row>
    <row r="35" spans="2:17" x14ac:dyDescent="0.5">
      <c r="B35">
        <f t="shared" si="0"/>
        <v>4628</v>
      </c>
      <c r="C35" s="287">
        <v>2007</v>
      </c>
      <c r="D35" s="290">
        <v>2071</v>
      </c>
      <c r="E35" s="288">
        <v>565</v>
      </c>
      <c r="F35" s="290">
        <v>1449</v>
      </c>
      <c r="G35" s="288">
        <v>590</v>
      </c>
      <c r="H35" s="290">
        <v>1264</v>
      </c>
      <c r="I35" s="288">
        <v>707</v>
      </c>
      <c r="J35" s="288">
        <v>618</v>
      </c>
      <c r="K35" s="290">
        <v>2465</v>
      </c>
      <c r="L35" s="288">
        <v>464</v>
      </c>
      <c r="M35" s="288">
        <v>205</v>
      </c>
      <c r="N35" s="288">
        <v>492</v>
      </c>
      <c r="O35" s="288">
        <v>521</v>
      </c>
      <c r="P35" s="288">
        <v>263</v>
      </c>
      <c r="Q35" s="289">
        <v>79</v>
      </c>
    </row>
    <row r="36" spans="2:17" x14ac:dyDescent="0.5">
      <c r="B36">
        <f t="shared" si="0"/>
        <v>5109</v>
      </c>
      <c r="C36" s="287">
        <v>2008</v>
      </c>
      <c r="D36" s="290">
        <v>1945</v>
      </c>
      <c r="E36" s="288">
        <v>521</v>
      </c>
      <c r="F36" s="288">
        <v>840</v>
      </c>
      <c r="G36" s="288">
        <v>914</v>
      </c>
      <c r="H36" s="290">
        <v>1241</v>
      </c>
      <c r="I36" s="288">
        <v>972</v>
      </c>
      <c r="J36" s="290">
        <v>1142</v>
      </c>
      <c r="K36" s="290">
        <v>2098</v>
      </c>
      <c r="L36" s="288">
        <v>675</v>
      </c>
      <c r="M36" s="288">
        <v>144</v>
      </c>
      <c r="N36" s="288">
        <v>976</v>
      </c>
      <c r="O36" s="288">
        <v>946</v>
      </c>
      <c r="P36" s="288">
        <v>585</v>
      </c>
      <c r="Q36" s="289">
        <v>190</v>
      </c>
    </row>
    <row r="37" spans="2:17" x14ac:dyDescent="0.5">
      <c r="B37">
        <f t="shared" si="0"/>
        <v>12923</v>
      </c>
      <c r="C37" s="287">
        <v>2009</v>
      </c>
      <c r="D37" s="290">
        <v>1665</v>
      </c>
      <c r="E37" s="288">
        <v>329</v>
      </c>
      <c r="F37" s="290">
        <v>3563</v>
      </c>
      <c r="G37" s="288">
        <v>732</v>
      </c>
      <c r="H37" s="290">
        <v>3904</v>
      </c>
      <c r="I37" s="290">
        <v>2968</v>
      </c>
      <c r="J37" s="290">
        <v>1756</v>
      </c>
      <c r="K37" s="290">
        <v>2356</v>
      </c>
      <c r="L37" s="288">
        <v>862</v>
      </c>
      <c r="M37" s="288" t="s">
        <v>407</v>
      </c>
      <c r="N37" s="290">
        <v>1114</v>
      </c>
      <c r="O37" s="290">
        <v>1044</v>
      </c>
      <c r="P37" s="288">
        <v>693</v>
      </c>
      <c r="Q37" s="289">
        <v>216</v>
      </c>
    </row>
    <row r="38" spans="2:17" x14ac:dyDescent="0.5">
      <c r="B38">
        <f t="shared" si="0"/>
        <v>7791</v>
      </c>
      <c r="C38" s="287">
        <v>2010</v>
      </c>
      <c r="D38" s="290">
        <v>1393</v>
      </c>
      <c r="E38" s="288">
        <v>913</v>
      </c>
      <c r="F38" s="290">
        <v>1124</v>
      </c>
      <c r="G38" s="288">
        <v>736</v>
      </c>
      <c r="H38" s="290">
        <v>2918</v>
      </c>
      <c r="I38" s="290">
        <v>2597</v>
      </c>
      <c r="J38" s="288">
        <v>416</v>
      </c>
      <c r="K38" s="290">
        <v>3722</v>
      </c>
      <c r="L38" s="290">
        <v>1623</v>
      </c>
      <c r="M38" s="288" t="s">
        <v>408</v>
      </c>
      <c r="N38" s="290">
        <v>2138</v>
      </c>
      <c r="O38" s="290">
        <v>2751</v>
      </c>
      <c r="P38" s="288">
        <v>621</v>
      </c>
      <c r="Q38" s="289">
        <v>367</v>
      </c>
    </row>
    <row r="39" spans="2:17" x14ac:dyDescent="0.5">
      <c r="B39">
        <f t="shared" si="0"/>
        <v>12420</v>
      </c>
      <c r="C39" s="287">
        <v>2011</v>
      </c>
      <c r="D39" s="290">
        <v>1467</v>
      </c>
      <c r="E39" s="290">
        <v>1195</v>
      </c>
      <c r="F39" s="290">
        <v>2191</v>
      </c>
      <c r="G39" s="290">
        <v>1057</v>
      </c>
      <c r="H39" s="290">
        <v>2890</v>
      </c>
      <c r="I39" s="290">
        <v>5372</v>
      </c>
      <c r="J39" s="288">
        <v>910</v>
      </c>
      <c r="K39" s="290">
        <v>3869</v>
      </c>
      <c r="L39" s="290">
        <v>1632</v>
      </c>
      <c r="M39" s="288" t="s">
        <v>409</v>
      </c>
      <c r="N39" s="290">
        <v>1963</v>
      </c>
      <c r="O39" s="290">
        <v>2274</v>
      </c>
      <c r="P39" s="288">
        <v>799</v>
      </c>
      <c r="Q39" s="289">
        <v>364</v>
      </c>
    </row>
    <row r="40" spans="2:17" x14ac:dyDescent="0.5">
      <c r="B40">
        <f t="shared" si="0"/>
        <v>16335</v>
      </c>
      <c r="C40" s="287">
        <v>2012</v>
      </c>
      <c r="D40" s="290">
        <v>1949</v>
      </c>
      <c r="E40" s="288">
        <v>563</v>
      </c>
      <c r="F40" s="290">
        <v>3538</v>
      </c>
      <c r="G40" s="290">
        <v>1035</v>
      </c>
      <c r="H40" s="290">
        <v>4588</v>
      </c>
      <c r="I40" s="290">
        <v>5117</v>
      </c>
      <c r="J40" s="290">
        <v>2057</v>
      </c>
      <c r="K40" s="290">
        <v>3122</v>
      </c>
      <c r="L40" s="290">
        <v>1210</v>
      </c>
      <c r="M40" s="288" t="s">
        <v>410</v>
      </c>
      <c r="N40" s="290">
        <v>2203</v>
      </c>
      <c r="O40" s="290">
        <v>1812</v>
      </c>
      <c r="P40" s="288">
        <v>667</v>
      </c>
      <c r="Q40" s="289">
        <v>475</v>
      </c>
    </row>
    <row r="41" spans="2:17" x14ac:dyDescent="0.5">
      <c r="B41">
        <f t="shared" si="0"/>
        <v>11657</v>
      </c>
      <c r="C41" s="287">
        <v>2013</v>
      </c>
      <c r="D41" s="290">
        <v>1303</v>
      </c>
      <c r="E41" s="288">
        <v>601</v>
      </c>
      <c r="F41" s="290">
        <v>1121</v>
      </c>
      <c r="G41" s="290">
        <v>1490</v>
      </c>
      <c r="H41" s="290">
        <v>2094</v>
      </c>
      <c r="I41" s="290">
        <v>5248</v>
      </c>
      <c r="J41" s="290">
        <v>1704</v>
      </c>
      <c r="K41" s="290">
        <v>2408</v>
      </c>
      <c r="L41" s="288">
        <v>741</v>
      </c>
      <c r="M41" s="288" t="s">
        <v>411</v>
      </c>
      <c r="N41" s="290">
        <v>1683</v>
      </c>
      <c r="O41" s="288">
        <v>928</v>
      </c>
      <c r="P41" s="288">
        <v>510</v>
      </c>
      <c r="Q41" s="289">
        <v>334</v>
      </c>
    </row>
    <row r="42" spans="2:17" x14ac:dyDescent="0.5">
      <c r="B42">
        <f t="shared" si="0"/>
        <v>20505</v>
      </c>
      <c r="C42" s="291">
        <v>2014</v>
      </c>
      <c r="D42" s="292">
        <v>1909</v>
      </c>
      <c r="E42" s="293">
        <v>569</v>
      </c>
      <c r="F42" s="292">
        <v>9070</v>
      </c>
      <c r="G42" s="292">
        <v>1247</v>
      </c>
      <c r="H42" s="292">
        <v>2190</v>
      </c>
      <c r="I42" s="292">
        <v>6510</v>
      </c>
      <c r="J42" s="292">
        <v>1488</v>
      </c>
      <c r="K42" s="292">
        <v>2600</v>
      </c>
      <c r="L42" s="293" t="s">
        <v>401</v>
      </c>
      <c r="M42" s="293" t="s">
        <v>412</v>
      </c>
      <c r="N42" s="292">
        <v>1506</v>
      </c>
      <c r="O42" s="293">
        <v>919</v>
      </c>
      <c r="P42" s="293">
        <v>356</v>
      </c>
      <c r="Q42" s="294">
        <v>423</v>
      </c>
    </row>
    <row r="43" spans="2:17" x14ac:dyDescent="0.5">
      <c r="C43" s="295" t="str">
        <f>HYPERLINK("https://fortress.wa.gov/dfw/score/score/maps/map_details.jsp?geoarea=SRR_MiddleColumbia&amp;geocode=srr","1Data available at: https://fortress.wa.gov/dfw/score/score/maps/map_details.jsp?geoarea=SRR_MiddleColumbia&amp;geocode=srr (Date accessed: April 28, 2016)")</f>
        <v>1Data available at: https://fortress.wa.gov/dfw/score/score/maps/map_details.jsp?geoarea=SRR_MiddleColumbia&amp;geocode=srr (Date accessed: April 28, 2016)</v>
      </c>
      <c r="D43" s="296"/>
      <c r="E43" s="296"/>
      <c r="F43" s="296"/>
      <c r="G43" s="296"/>
      <c r="H43" s="297"/>
      <c r="I43" s="297"/>
      <c r="J43" s="297"/>
      <c r="K43" s="297"/>
      <c r="L43" s="297"/>
      <c r="M43" s="297"/>
      <c r="N43" s="297"/>
      <c r="O43" s="297"/>
      <c r="P43" s="296"/>
      <c r="Q43" s="296"/>
    </row>
    <row r="44" spans="2:17" x14ac:dyDescent="0.5">
      <c r="C44" s="295" t="str">
        <f>HYPERLINK("http://odfwrecoverytracker.org/explorer/","2Data available at: http://odfwrecoverytracker.org/explorer/")</f>
        <v>2Data available at: http://odfwrecoverytracker.org/explorer/</v>
      </c>
      <c r="D44" s="296"/>
      <c r="E44" s="296"/>
      <c r="F44" s="296"/>
      <c r="G44" s="296"/>
      <c r="H44" s="297"/>
      <c r="I44" s="297"/>
      <c r="J44" s="297"/>
      <c r="K44" s="297"/>
      <c r="L44" s="297"/>
      <c r="M44" s="297"/>
      <c r="N44" s="297"/>
      <c r="O44" s="297"/>
      <c r="P44" s="296"/>
      <c r="Q44" s="296"/>
    </row>
    <row r="45" spans="2:17" x14ac:dyDescent="0.5">
      <c r="C45" s="298" t="s">
        <v>413</v>
      </c>
      <c r="D45" s="296"/>
      <c r="E45" s="296"/>
      <c r="F45" s="296"/>
      <c r="G45" s="296"/>
      <c r="H45" s="297"/>
      <c r="I45" s="297"/>
      <c r="J45" s="297"/>
      <c r="K45" s="297"/>
      <c r="L45" s="297"/>
      <c r="M45" s="297"/>
      <c r="N45" s="297"/>
      <c r="O45" s="297"/>
      <c r="P45" s="296"/>
      <c r="Q45" s="296"/>
    </row>
    <row r="46" spans="2:17" x14ac:dyDescent="0.5">
      <c r="C46" s="295" t="s">
        <v>414</v>
      </c>
      <c r="D46" s="296"/>
      <c r="E46" s="296"/>
      <c r="F46" s="296"/>
      <c r="G46" s="296"/>
      <c r="H46" s="297"/>
      <c r="I46" s="297"/>
      <c r="J46" s="297"/>
      <c r="K46" s="297"/>
      <c r="L46" s="297"/>
      <c r="M46" s="297"/>
      <c r="N46" s="297"/>
      <c r="O46" s="297"/>
      <c r="P46" s="296"/>
      <c r="Q46" s="296"/>
    </row>
    <row r="47" spans="2:17" x14ac:dyDescent="0.5">
      <c r="C47" s="297" t="s">
        <v>415</v>
      </c>
      <c r="D47" s="296"/>
      <c r="E47" s="296"/>
      <c r="F47" s="296"/>
      <c r="G47" s="296"/>
      <c r="H47" s="297"/>
      <c r="I47" s="297"/>
      <c r="J47" s="297"/>
      <c r="K47" s="297"/>
      <c r="L47" s="297"/>
      <c r="M47" s="297"/>
      <c r="N47" s="297"/>
      <c r="O47" s="297"/>
      <c r="P47" s="296"/>
      <c r="Q47" s="296"/>
    </row>
    <row r="51" spans="3:8" ht="15.6" x14ac:dyDescent="0.5">
      <c r="C51" s="781" t="s">
        <v>416</v>
      </c>
      <c r="D51" s="781"/>
      <c r="E51" s="781"/>
      <c r="F51" s="781"/>
      <c r="G51" s="781"/>
      <c r="H51" s="781"/>
    </row>
    <row r="52" spans="3:8" ht="23.4" x14ac:dyDescent="0.5">
      <c r="C52" s="299" t="s">
        <v>55</v>
      </c>
      <c r="D52" s="300" t="s">
        <v>417</v>
      </c>
      <c r="E52" s="300" t="s">
        <v>418</v>
      </c>
      <c r="F52" s="300" t="s">
        <v>419</v>
      </c>
      <c r="G52" s="300" t="s">
        <v>420</v>
      </c>
      <c r="H52" s="301" t="s">
        <v>71</v>
      </c>
    </row>
    <row r="53" spans="3:8" x14ac:dyDescent="0.5">
      <c r="C53" s="302">
        <v>1997</v>
      </c>
      <c r="D53" s="303">
        <v>31</v>
      </c>
      <c r="E53" s="303">
        <v>164</v>
      </c>
      <c r="F53" s="303">
        <v>27</v>
      </c>
      <c r="G53" s="303">
        <v>242</v>
      </c>
      <c r="H53" s="304">
        <f t="shared" ref="H53:H72" si="1">SUM(D53:G53)</f>
        <v>464</v>
      </c>
    </row>
    <row r="54" spans="3:8" x14ac:dyDescent="0.5">
      <c r="C54" s="302">
        <v>1998</v>
      </c>
      <c r="D54" s="303">
        <v>37</v>
      </c>
      <c r="E54" s="303">
        <v>69</v>
      </c>
      <c r="F54" s="303">
        <v>20</v>
      </c>
      <c r="G54" s="303">
        <v>252</v>
      </c>
      <c r="H54" s="304">
        <f t="shared" si="1"/>
        <v>378</v>
      </c>
    </row>
    <row r="55" spans="3:8" x14ac:dyDescent="0.5">
      <c r="C55" s="302">
        <v>1999</v>
      </c>
      <c r="D55" s="303">
        <v>38</v>
      </c>
      <c r="E55" s="303">
        <v>136</v>
      </c>
      <c r="F55" s="303">
        <v>40</v>
      </c>
      <c r="G55" s="303">
        <v>239</v>
      </c>
      <c r="H55" s="304">
        <f t="shared" si="1"/>
        <v>453</v>
      </c>
    </row>
    <row r="56" spans="3:8" x14ac:dyDescent="0.5">
      <c r="C56" s="302">
        <v>2000</v>
      </c>
      <c r="D56" s="303">
        <v>51</v>
      </c>
      <c r="E56" s="303">
        <v>242</v>
      </c>
      <c r="F56" s="303">
        <v>64</v>
      </c>
      <c r="G56" s="303">
        <v>356</v>
      </c>
      <c r="H56" s="304">
        <f t="shared" si="1"/>
        <v>713</v>
      </c>
    </row>
    <row r="57" spans="3:8" x14ac:dyDescent="0.5">
      <c r="C57" s="302">
        <v>2001</v>
      </c>
      <c r="D57" s="303">
        <v>98</v>
      </c>
      <c r="E57" s="303">
        <v>336</v>
      </c>
      <c r="F57" s="303">
        <v>99</v>
      </c>
      <c r="G57" s="303">
        <v>704</v>
      </c>
      <c r="H57" s="304">
        <f t="shared" si="1"/>
        <v>1237</v>
      </c>
    </row>
    <row r="58" spans="3:8" x14ac:dyDescent="0.5">
      <c r="C58" s="302">
        <v>2002</v>
      </c>
      <c r="D58" s="303">
        <v>266</v>
      </c>
      <c r="E58" s="303">
        <v>562</v>
      </c>
      <c r="F58" s="303">
        <v>157</v>
      </c>
      <c r="G58" s="305">
        <v>1968</v>
      </c>
      <c r="H58" s="304">
        <f t="shared" si="1"/>
        <v>2953</v>
      </c>
    </row>
    <row r="59" spans="3:8" x14ac:dyDescent="0.5">
      <c r="C59" s="302">
        <v>2003</v>
      </c>
      <c r="D59" s="303">
        <v>117</v>
      </c>
      <c r="E59" s="303">
        <v>489</v>
      </c>
      <c r="F59" s="303">
        <v>142</v>
      </c>
      <c r="G59" s="303">
        <v>853</v>
      </c>
      <c r="H59" s="304">
        <f t="shared" si="1"/>
        <v>1601</v>
      </c>
    </row>
    <row r="60" spans="3:8" x14ac:dyDescent="0.5">
      <c r="C60" s="302">
        <v>2004</v>
      </c>
      <c r="D60" s="303">
        <v>94</v>
      </c>
      <c r="E60" s="303">
        <v>652</v>
      </c>
      <c r="F60" s="303">
        <v>189</v>
      </c>
      <c r="G60" s="303">
        <v>656</v>
      </c>
      <c r="H60" s="304">
        <f t="shared" si="1"/>
        <v>1591</v>
      </c>
    </row>
    <row r="61" spans="3:8" x14ac:dyDescent="0.5">
      <c r="C61" s="302">
        <v>2005</v>
      </c>
      <c r="D61" s="303">
        <v>116</v>
      </c>
      <c r="E61" s="303">
        <v>496</v>
      </c>
      <c r="F61" s="303">
        <v>142</v>
      </c>
      <c r="G61" s="303">
        <v>813</v>
      </c>
      <c r="H61" s="304">
        <f t="shared" si="1"/>
        <v>1567</v>
      </c>
    </row>
    <row r="62" spans="3:8" x14ac:dyDescent="0.5">
      <c r="C62" s="302">
        <v>2006</v>
      </c>
      <c r="D62" s="303">
        <v>128</v>
      </c>
      <c r="E62" s="303">
        <v>422</v>
      </c>
      <c r="F62" s="303">
        <v>119</v>
      </c>
      <c r="G62" s="303">
        <v>906</v>
      </c>
      <c r="H62" s="304">
        <f t="shared" si="1"/>
        <v>1575</v>
      </c>
    </row>
    <row r="63" spans="3:8" x14ac:dyDescent="0.5">
      <c r="C63" s="302">
        <v>2007</v>
      </c>
      <c r="D63" s="303">
        <v>59</v>
      </c>
      <c r="E63" s="303">
        <v>369</v>
      </c>
      <c r="F63" s="303">
        <v>102</v>
      </c>
      <c r="G63" s="303">
        <v>387</v>
      </c>
      <c r="H63" s="304">
        <f t="shared" si="1"/>
        <v>917</v>
      </c>
    </row>
    <row r="64" spans="3:8" x14ac:dyDescent="0.5">
      <c r="C64" s="302">
        <v>2008</v>
      </c>
      <c r="D64" s="303">
        <v>123</v>
      </c>
      <c r="E64" s="303">
        <v>729</v>
      </c>
      <c r="F64" s="303">
        <v>213</v>
      </c>
      <c r="G64" s="303">
        <v>714</v>
      </c>
      <c r="H64" s="304">
        <f t="shared" si="1"/>
        <v>1779</v>
      </c>
    </row>
    <row r="65" spans="3:8" x14ac:dyDescent="0.5">
      <c r="C65" s="302">
        <v>2009</v>
      </c>
      <c r="D65" s="303">
        <v>102</v>
      </c>
      <c r="E65" s="303">
        <v>656</v>
      </c>
      <c r="F65" s="303">
        <v>184</v>
      </c>
      <c r="G65" s="303">
        <v>709</v>
      </c>
      <c r="H65" s="304">
        <f t="shared" si="1"/>
        <v>1651</v>
      </c>
    </row>
    <row r="66" spans="3:8" x14ac:dyDescent="0.5">
      <c r="C66" s="302">
        <v>2010</v>
      </c>
      <c r="D66" s="303">
        <v>297</v>
      </c>
      <c r="E66" s="305">
        <v>1102</v>
      </c>
      <c r="F66" s="303">
        <v>314</v>
      </c>
      <c r="G66" s="305">
        <v>2237</v>
      </c>
      <c r="H66" s="304">
        <f t="shared" si="1"/>
        <v>3950</v>
      </c>
    </row>
    <row r="67" spans="3:8" x14ac:dyDescent="0.5">
      <c r="C67" s="302">
        <v>2011</v>
      </c>
      <c r="D67" s="303">
        <v>293</v>
      </c>
      <c r="E67" s="303">
        <v>987</v>
      </c>
      <c r="F67" s="303">
        <v>285</v>
      </c>
      <c r="G67" s="305">
        <v>2189</v>
      </c>
      <c r="H67" s="304">
        <f t="shared" si="1"/>
        <v>3754</v>
      </c>
    </row>
    <row r="68" spans="3:8" x14ac:dyDescent="0.5">
      <c r="C68" s="302">
        <v>2012</v>
      </c>
      <c r="D68" s="303">
        <v>190</v>
      </c>
      <c r="E68" s="303">
        <v>770</v>
      </c>
      <c r="F68" s="303">
        <v>235</v>
      </c>
      <c r="G68" s="305">
        <v>1420</v>
      </c>
      <c r="H68" s="304">
        <f t="shared" si="1"/>
        <v>2615</v>
      </c>
    </row>
    <row r="69" spans="3:8" x14ac:dyDescent="0.5">
      <c r="C69" s="302">
        <v>2013</v>
      </c>
      <c r="D69" s="303">
        <v>129</v>
      </c>
      <c r="E69" s="303">
        <v>494</v>
      </c>
      <c r="F69" s="303">
        <v>152</v>
      </c>
      <c r="G69" s="303">
        <v>931</v>
      </c>
      <c r="H69" s="304">
        <f t="shared" si="1"/>
        <v>1706</v>
      </c>
    </row>
    <row r="70" spans="3:8" x14ac:dyDescent="0.5">
      <c r="C70" s="302">
        <v>2014</v>
      </c>
      <c r="D70" s="303">
        <v>185</v>
      </c>
      <c r="E70" s="305">
        <v>1002</v>
      </c>
      <c r="F70" s="303">
        <v>309</v>
      </c>
      <c r="G70" s="305">
        <v>1151</v>
      </c>
      <c r="H70" s="304">
        <f t="shared" si="1"/>
        <v>2647</v>
      </c>
    </row>
    <row r="71" spans="3:8" x14ac:dyDescent="0.5">
      <c r="C71" s="302">
        <v>2015</v>
      </c>
      <c r="D71" s="303">
        <v>234</v>
      </c>
      <c r="E71" s="305">
        <v>1113</v>
      </c>
      <c r="F71" s="303">
        <v>330</v>
      </c>
      <c r="G71" s="305">
        <v>1736</v>
      </c>
      <c r="H71" s="304">
        <f t="shared" si="1"/>
        <v>3413</v>
      </c>
    </row>
    <row r="72" spans="3:8" x14ac:dyDescent="0.5">
      <c r="C72" s="306">
        <v>2016</v>
      </c>
      <c r="D72" s="307">
        <v>80</v>
      </c>
      <c r="E72" s="308">
        <v>942</v>
      </c>
      <c r="F72" s="307">
        <v>292</v>
      </c>
      <c r="G72" s="308">
        <v>1130</v>
      </c>
      <c r="H72" s="309">
        <f t="shared" si="1"/>
        <v>2444</v>
      </c>
    </row>
    <row r="73" spans="3:8" x14ac:dyDescent="0.5">
      <c r="C73" s="782" t="s">
        <v>421</v>
      </c>
      <c r="D73" s="782"/>
      <c r="E73" s="782"/>
      <c r="F73" s="782"/>
      <c r="G73" s="782"/>
      <c r="H73" s="782"/>
    </row>
    <row r="74" spans="3:8" x14ac:dyDescent="0.5">
      <c r="C74" s="310" t="str">
        <f>HYPERLINK("https://fortress.wa.gov/dfw/score/score/maps/map_details.jsp?geoarea=SRR_UpperColumbia&amp;geocode=srr","1online at: https://fortress.wa.gov/dfw/score/score/maps/map_details.jsp?geoarea=SRR_UpperColumbia&amp;geocode=srr")</f>
        <v>1online at: https://fortress.wa.gov/dfw/score/score/maps/map_details.jsp?geoarea=SRR_UpperColumbia&amp;geocode=srr</v>
      </c>
      <c r="D74" s="311"/>
      <c r="E74" s="311"/>
      <c r="F74" s="312"/>
      <c r="G74" s="312"/>
      <c r="H74" s="311"/>
    </row>
    <row r="75" spans="3:8" x14ac:dyDescent="0.5">
      <c r="C75" s="313" t="s">
        <v>422</v>
      </c>
      <c r="D75" s="311"/>
      <c r="E75" s="311"/>
      <c r="F75" s="312"/>
      <c r="G75" s="312"/>
      <c r="H75" s="311"/>
    </row>
    <row r="77" spans="3:8" x14ac:dyDescent="0.5">
      <c r="D77" s="314">
        <f>AVERAGE(D53:D63)</f>
        <v>94.090909090909093</v>
      </c>
      <c r="E77" s="314">
        <f t="shared" ref="E77:G77" si="2">AVERAGE(E53:E63)</f>
        <v>357.90909090909093</v>
      </c>
      <c r="F77" s="314">
        <f t="shared" si="2"/>
        <v>100.09090909090909</v>
      </c>
      <c r="G77" s="314">
        <f t="shared" si="2"/>
        <v>670.5454545454545</v>
      </c>
    </row>
    <row r="78" spans="3:8" x14ac:dyDescent="0.5">
      <c r="D78" s="314">
        <f>ROUND(D77,-2)</f>
        <v>100</v>
      </c>
      <c r="E78" s="314">
        <f t="shared" ref="E78:G78" si="3">ROUND(E77,-2)</f>
        <v>400</v>
      </c>
      <c r="F78" s="314">
        <f t="shared" si="3"/>
        <v>100</v>
      </c>
      <c r="G78" s="314">
        <f t="shared" si="3"/>
        <v>700</v>
      </c>
    </row>
    <row r="84" spans="3:8" ht="14.4" x14ac:dyDescent="0.5">
      <c r="C84" s="336" t="s">
        <v>423</v>
      </c>
    </row>
    <row r="85" spans="3:8" ht="14.7" thickBot="1" x14ac:dyDescent="0.55000000000000004">
      <c r="C85" s="521"/>
    </row>
    <row r="86" spans="3:8" ht="129.9" thickBot="1" x14ac:dyDescent="0.55000000000000004">
      <c r="C86" s="346" t="s">
        <v>258</v>
      </c>
      <c r="D86" s="347" t="s">
        <v>424</v>
      </c>
      <c r="E86" s="347" t="s">
        <v>425</v>
      </c>
      <c r="F86" s="347" t="s">
        <v>426</v>
      </c>
      <c r="G86" s="347" t="s">
        <v>427</v>
      </c>
      <c r="H86" s="348" t="s">
        <v>428</v>
      </c>
    </row>
    <row r="87" spans="3:8" ht="14.4" x14ac:dyDescent="0.5">
      <c r="C87" s="349" t="s">
        <v>429</v>
      </c>
      <c r="D87" s="350">
        <v>13788</v>
      </c>
      <c r="E87" s="350">
        <v>3922</v>
      </c>
      <c r="F87" s="350">
        <v>2400</v>
      </c>
      <c r="G87" s="350">
        <v>4100</v>
      </c>
      <c r="H87" s="351">
        <v>6582</v>
      </c>
    </row>
    <row r="88" spans="3:8" ht="14.4" x14ac:dyDescent="0.5">
      <c r="C88" s="352" t="s">
        <v>308</v>
      </c>
      <c r="D88" s="350">
        <v>11242</v>
      </c>
      <c r="E88" s="350">
        <v>2924</v>
      </c>
      <c r="F88" s="350">
        <v>2322</v>
      </c>
      <c r="G88" s="350">
        <v>3482</v>
      </c>
      <c r="H88" s="351">
        <v>5109</v>
      </c>
    </row>
    <row r="89" spans="3:8" ht="14.4" x14ac:dyDescent="0.5">
      <c r="C89" s="352" t="s">
        <v>309</v>
      </c>
      <c r="D89" s="350">
        <v>18217</v>
      </c>
      <c r="E89" s="350">
        <v>5659</v>
      </c>
      <c r="F89" s="350">
        <v>3598</v>
      </c>
      <c r="G89" s="350">
        <v>4048</v>
      </c>
      <c r="H89" s="351">
        <v>12923</v>
      </c>
    </row>
    <row r="90" spans="3:8" ht="14.4" x14ac:dyDescent="0.5">
      <c r="C90" s="352" t="s">
        <v>310</v>
      </c>
      <c r="D90" s="350">
        <v>38210</v>
      </c>
      <c r="E90" s="350">
        <v>4529</v>
      </c>
      <c r="F90" s="350">
        <v>1831</v>
      </c>
      <c r="G90" s="350">
        <v>4236</v>
      </c>
      <c r="H90" s="351">
        <v>7791</v>
      </c>
    </row>
    <row r="91" spans="3:8" ht="14.4" x14ac:dyDescent="0.5">
      <c r="C91" s="352" t="s">
        <v>311</v>
      </c>
      <c r="D91" s="350">
        <v>34549</v>
      </c>
      <c r="E91" s="350">
        <v>9584</v>
      </c>
      <c r="F91" s="350">
        <v>5489</v>
      </c>
      <c r="G91" s="350">
        <v>7257</v>
      </c>
      <c r="H91" s="351">
        <v>12426</v>
      </c>
    </row>
    <row r="92" spans="3:8" ht="14.4" x14ac:dyDescent="0.5">
      <c r="C92" s="352" t="s">
        <v>312</v>
      </c>
      <c r="D92" s="350">
        <v>35241</v>
      </c>
      <c r="E92" s="350">
        <v>4198</v>
      </c>
      <c r="F92" s="350">
        <v>1305</v>
      </c>
      <c r="G92" s="350">
        <v>5450</v>
      </c>
      <c r="H92" s="351">
        <v>16250</v>
      </c>
    </row>
    <row r="93" spans="3:8" ht="14.4" x14ac:dyDescent="0.5">
      <c r="C93" s="352" t="s">
        <v>313</v>
      </c>
      <c r="D93" s="350">
        <v>19806</v>
      </c>
      <c r="E93" s="350">
        <v>3337</v>
      </c>
      <c r="F93" s="350">
        <v>2149</v>
      </c>
      <c r="G93" s="350">
        <v>3749</v>
      </c>
      <c r="H93" s="351">
        <v>11640</v>
      </c>
    </row>
    <row r="94" spans="3:8" ht="14.4" x14ac:dyDescent="0.5">
      <c r="C94" s="352" t="s">
        <v>314</v>
      </c>
      <c r="D94" s="350">
        <v>23469</v>
      </c>
      <c r="E94" s="350">
        <v>1886</v>
      </c>
      <c r="F94" s="350">
        <v>2448</v>
      </c>
      <c r="G94" s="350">
        <v>5450</v>
      </c>
      <c r="H94" s="351">
        <v>20505</v>
      </c>
    </row>
    <row r="95" spans="3:8" ht="14.4" x14ac:dyDescent="0.5">
      <c r="C95" s="352" t="s">
        <v>315</v>
      </c>
      <c r="D95" s="350">
        <v>38861</v>
      </c>
      <c r="E95" s="350">
        <v>6928</v>
      </c>
      <c r="F95" s="350">
        <v>2914</v>
      </c>
      <c r="G95" s="350">
        <v>5358</v>
      </c>
      <c r="H95" s="353" t="s">
        <v>57</v>
      </c>
    </row>
    <row r="96" spans="3:8" ht="14.7" thickBot="1" x14ac:dyDescent="0.55000000000000004">
      <c r="C96" s="354" t="s">
        <v>316</v>
      </c>
      <c r="D96" s="355">
        <v>31938</v>
      </c>
      <c r="E96" s="355">
        <v>3935</v>
      </c>
      <c r="F96" s="355">
        <v>1595</v>
      </c>
      <c r="G96" s="355">
        <v>2457</v>
      </c>
      <c r="H96" s="356" t="s">
        <v>57</v>
      </c>
    </row>
    <row r="97" spans="3:21" ht="14.7" thickBot="1" x14ac:dyDescent="0.55000000000000004">
      <c r="C97" s="354" t="s">
        <v>430</v>
      </c>
      <c r="D97" s="355">
        <v>27948</v>
      </c>
      <c r="E97" s="355">
        <v>4776</v>
      </c>
      <c r="F97" s="355">
        <v>2628</v>
      </c>
      <c r="G97" s="355">
        <v>4610</v>
      </c>
      <c r="H97" s="357">
        <v>12378</v>
      </c>
    </row>
    <row r="98" spans="3:21" ht="14.4" x14ac:dyDescent="0.5">
      <c r="C98" s="776" t="s">
        <v>431</v>
      </c>
      <c r="D98" s="776"/>
      <c r="E98" s="776"/>
      <c r="F98" s="776"/>
      <c r="G98" s="776"/>
      <c r="H98" s="776"/>
    </row>
    <row r="101" spans="3:21" x14ac:dyDescent="0.5">
      <c r="R101" t="s">
        <v>432</v>
      </c>
    </row>
    <row r="102" spans="3:21" ht="14.7" thickBot="1" x14ac:dyDescent="0.55000000000000004">
      <c r="C102" s="336" t="s">
        <v>433</v>
      </c>
      <c r="M102" t="s">
        <v>434</v>
      </c>
      <c r="R102" t="s">
        <v>435</v>
      </c>
    </row>
    <row r="103" spans="3:21" ht="129.9" thickBot="1" x14ac:dyDescent="0.55000000000000004">
      <c r="C103" s="346" t="s">
        <v>258</v>
      </c>
      <c r="D103" s="347" t="s">
        <v>436</v>
      </c>
      <c r="E103" s="347" t="s">
        <v>437</v>
      </c>
      <c r="F103" s="347" t="s">
        <v>438</v>
      </c>
      <c r="G103" s="347" t="s">
        <v>439</v>
      </c>
      <c r="H103" s="348" t="s">
        <v>440</v>
      </c>
      <c r="M103" s="472" t="s">
        <v>441</v>
      </c>
      <c r="N103" s="467" t="s">
        <v>442</v>
      </c>
      <c r="O103" s="467" t="s">
        <v>443</v>
      </c>
      <c r="R103" s="472" t="s">
        <v>55</v>
      </c>
      <c r="S103" s="467" t="s">
        <v>442</v>
      </c>
      <c r="T103" s="467" t="s">
        <v>443</v>
      </c>
      <c r="U103" s="467" t="s">
        <v>444</v>
      </c>
    </row>
    <row r="104" spans="3:21" ht="14.7" thickBot="1" x14ac:dyDescent="0.55000000000000004">
      <c r="C104" s="352" t="s">
        <v>373</v>
      </c>
      <c r="D104" s="350">
        <v>1600</v>
      </c>
      <c r="E104" s="358">
        <v>600</v>
      </c>
      <c r="F104" s="358" t="s">
        <v>57</v>
      </c>
      <c r="G104" s="358">
        <v>400</v>
      </c>
      <c r="H104" s="353">
        <v>700</v>
      </c>
      <c r="M104" s="473">
        <v>1988</v>
      </c>
      <c r="N104" s="468">
        <v>393</v>
      </c>
      <c r="O104" s="469">
        <v>1146</v>
      </c>
      <c r="R104" s="473">
        <v>1962</v>
      </c>
      <c r="S104" s="469">
        <v>3055</v>
      </c>
      <c r="T104" s="468"/>
      <c r="U104" s="468"/>
    </row>
    <row r="105" spans="3:21" ht="14.7" thickBot="1" x14ac:dyDescent="0.55000000000000004">
      <c r="C105" s="352" t="s">
        <v>308</v>
      </c>
      <c r="D105" s="350">
        <v>2232</v>
      </c>
      <c r="E105" s="350">
        <v>1000</v>
      </c>
      <c r="F105" s="358" t="s">
        <v>57</v>
      </c>
      <c r="G105" s="358">
        <v>765</v>
      </c>
      <c r="H105" s="353">
        <v>793</v>
      </c>
      <c r="M105" s="474">
        <v>1989</v>
      </c>
      <c r="N105" s="470">
        <v>304</v>
      </c>
      <c r="O105" s="470">
        <v>861</v>
      </c>
      <c r="R105" s="474">
        <v>1963</v>
      </c>
      <c r="S105" s="471">
        <v>3359</v>
      </c>
      <c r="T105" s="470"/>
      <c r="U105" s="470"/>
    </row>
    <row r="106" spans="3:21" ht="14.7" thickBot="1" x14ac:dyDescent="0.55000000000000004">
      <c r="C106" s="352" t="s">
        <v>309</v>
      </c>
      <c r="D106" s="350">
        <v>2515</v>
      </c>
      <c r="E106" s="358">
        <v>500</v>
      </c>
      <c r="F106" s="358" t="s">
        <v>57</v>
      </c>
      <c r="G106" s="358">
        <v>705</v>
      </c>
      <c r="H106" s="353">
        <v>788</v>
      </c>
      <c r="M106" s="473">
        <v>1990</v>
      </c>
      <c r="N106" s="468">
        <v>385</v>
      </c>
      <c r="O106" s="468">
        <v>961</v>
      </c>
      <c r="R106" s="473">
        <v>1964</v>
      </c>
      <c r="S106" s="469">
        <v>2758</v>
      </c>
      <c r="T106" s="468"/>
      <c r="U106" s="468"/>
    </row>
    <row r="107" spans="3:21" ht="14.7" thickBot="1" x14ac:dyDescent="0.55000000000000004">
      <c r="C107" s="352" t="s">
        <v>310</v>
      </c>
      <c r="D107" s="350">
        <v>3895</v>
      </c>
      <c r="E107" s="358">
        <v>300</v>
      </c>
      <c r="F107" s="350">
        <v>1290</v>
      </c>
      <c r="G107" s="350">
        <v>1225</v>
      </c>
      <c r="H107" s="351">
        <v>2486</v>
      </c>
      <c r="M107" s="474">
        <v>1991</v>
      </c>
      <c r="N107" s="470">
        <v>302</v>
      </c>
      <c r="O107" s="470">
        <v>623</v>
      </c>
      <c r="R107" s="474">
        <v>1965</v>
      </c>
      <c r="S107" s="471">
        <v>2417</v>
      </c>
      <c r="T107" s="470"/>
      <c r="U107" s="470"/>
    </row>
    <row r="108" spans="3:21" ht="14.7" thickBot="1" x14ac:dyDescent="0.55000000000000004">
      <c r="C108" s="352" t="s">
        <v>311</v>
      </c>
      <c r="D108" s="350">
        <v>4031</v>
      </c>
      <c r="E108" s="358">
        <v>600</v>
      </c>
      <c r="F108" s="350">
        <v>1111</v>
      </c>
      <c r="G108" s="350">
        <v>1096</v>
      </c>
      <c r="H108" s="351">
        <v>2432</v>
      </c>
      <c r="M108" s="473">
        <v>1992</v>
      </c>
      <c r="N108" s="468">
        <v>509</v>
      </c>
      <c r="O108" s="469">
        <v>1638</v>
      </c>
      <c r="R108" s="473">
        <v>1966</v>
      </c>
      <c r="S108" s="469">
        <v>2648</v>
      </c>
      <c r="T108" s="468"/>
      <c r="U108" s="468"/>
    </row>
    <row r="109" spans="3:21" ht="14.7" thickBot="1" x14ac:dyDescent="0.55000000000000004">
      <c r="C109" s="352" t="s">
        <v>312</v>
      </c>
      <c r="D109" s="350">
        <v>3297</v>
      </c>
      <c r="E109" s="358">
        <v>780</v>
      </c>
      <c r="F109" s="350">
        <v>2483</v>
      </c>
      <c r="G109" s="358">
        <v>856</v>
      </c>
      <c r="H109" s="351">
        <v>1578</v>
      </c>
      <c r="M109" s="474">
        <v>1993</v>
      </c>
      <c r="N109" s="470">
        <v>80</v>
      </c>
      <c r="O109" s="471">
        <v>1536</v>
      </c>
      <c r="R109" s="474">
        <v>1967</v>
      </c>
      <c r="S109" s="470">
        <v>468</v>
      </c>
      <c r="T109" s="470"/>
      <c r="U109" s="470"/>
    </row>
    <row r="110" spans="3:21" ht="14.7" thickBot="1" x14ac:dyDescent="0.55000000000000004">
      <c r="C110" s="352" t="s">
        <v>313</v>
      </c>
      <c r="D110" s="350">
        <v>2507</v>
      </c>
      <c r="E110" s="358" t="s">
        <v>57</v>
      </c>
      <c r="F110" s="350">
        <v>1063</v>
      </c>
      <c r="G110" s="358">
        <v>548</v>
      </c>
      <c r="H110" s="351">
        <v>1040</v>
      </c>
      <c r="M110" s="473">
        <v>1994</v>
      </c>
      <c r="N110" s="468">
        <v>80</v>
      </c>
      <c r="O110" s="468">
        <v>511</v>
      </c>
      <c r="R110" s="473">
        <v>1968</v>
      </c>
      <c r="S110" s="469">
        <v>1746</v>
      </c>
      <c r="T110" s="468"/>
      <c r="U110" s="468"/>
    </row>
    <row r="111" spans="3:21" ht="14.7" thickBot="1" x14ac:dyDescent="0.55000000000000004">
      <c r="C111" s="352" t="s">
        <v>314</v>
      </c>
      <c r="D111" s="350">
        <v>2748</v>
      </c>
      <c r="E111" s="358" t="s">
        <v>57</v>
      </c>
      <c r="F111" s="350">
        <v>1222</v>
      </c>
      <c r="G111" s="350">
        <v>1138</v>
      </c>
      <c r="H111" s="351">
        <v>1516</v>
      </c>
      <c r="M111" s="474">
        <v>1995</v>
      </c>
      <c r="N111" s="470">
        <v>109</v>
      </c>
      <c r="O111" s="470">
        <v>567</v>
      </c>
      <c r="R111" s="474">
        <v>1969</v>
      </c>
      <c r="S111" s="471">
        <v>1250</v>
      </c>
      <c r="T111" s="470"/>
      <c r="U111" s="470"/>
    </row>
    <row r="112" spans="3:21" ht="14.7" thickBot="1" x14ac:dyDescent="0.55000000000000004">
      <c r="C112" s="352" t="s">
        <v>315</v>
      </c>
      <c r="D112" s="350">
        <v>5270</v>
      </c>
      <c r="E112" s="358" t="s">
        <v>57</v>
      </c>
      <c r="F112" s="350">
        <v>2956</v>
      </c>
      <c r="G112" s="350">
        <v>1216</v>
      </c>
      <c r="H112" s="351">
        <v>1909</v>
      </c>
      <c r="M112" s="473">
        <v>1996</v>
      </c>
      <c r="N112" s="468">
        <v>59</v>
      </c>
      <c r="O112" s="468">
        <v>178</v>
      </c>
      <c r="R112" s="473">
        <v>1970</v>
      </c>
      <c r="S112" s="468">
        <v>495</v>
      </c>
      <c r="T112" s="468"/>
      <c r="U112" s="468"/>
    </row>
    <row r="113" spans="3:21" ht="14.7" thickBot="1" x14ac:dyDescent="0.55000000000000004">
      <c r="C113" s="354" t="s">
        <v>316</v>
      </c>
      <c r="D113" s="355">
        <v>3757</v>
      </c>
      <c r="E113" s="359" t="s">
        <v>57</v>
      </c>
      <c r="F113" s="359" t="s">
        <v>57</v>
      </c>
      <c r="G113" s="355">
        <v>1100</v>
      </c>
      <c r="H113" s="357">
        <v>1500</v>
      </c>
      <c r="M113" s="474">
        <v>1997</v>
      </c>
      <c r="N113" s="470">
        <v>164</v>
      </c>
      <c r="O113" s="471">
        <v>1337</v>
      </c>
      <c r="R113" s="474">
        <v>1971</v>
      </c>
      <c r="S113" s="471">
        <v>1358</v>
      </c>
      <c r="T113" s="470"/>
      <c r="U113" s="470"/>
    </row>
    <row r="114" spans="3:21" ht="14.7" thickBot="1" x14ac:dyDescent="0.6">
      <c r="C114" s="776" t="s">
        <v>445</v>
      </c>
      <c r="D114" s="776"/>
      <c r="E114" s="776"/>
      <c r="F114" s="776"/>
      <c r="G114" s="345"/>
      <c r="H114" s="345"/>
      <c r="M114" s="473">
        <v>1998</v>
      </c>
      <c r="N114" s="468">
        <v>69</v>
      </c>
      <c r="O114" s="469">
        <v>1971</v>
      </c>
      <c r="R114" s="473">
        <v>1972</v>
      </c>
      <c r="S114" s="469">
        <v>1331</v>
      </c>
      <c r="T114" s="468"/>
      <c r="U114" s="468"/>
    </row>
    <row r="115" spans="3:21" ht="14.7" thickBot="1" x14ac:dyDescent="0.6">
      <c r="C115" s="777" t="s">
        <v>446</v>
      </c>
      <c r="D115" s="777"/>
      <c r="E115" s="345"/>
      <c r="F115" s="345"/>
      <c r="G115" s="345"/>
      <c r="H115" s="345"/>
      <c r="M115" s="474">
        <v>1999</v>
      </c>
      <c r="N115" s="470">
        <v>136</v>
      </c>
      <c r="O115" s="471">
        <v>1337</v>
      </c>
      <c r="R115" s="474">
        <v>1973</v>
      </c>
      <c r="S115" s="470">
        <v>274</v>
      </c>
      <c r="T115" s="470"/>
      <c r="U115" s="470"/>
    </row>
    <row r="116" spans="3:21" ht="14.7" thickBot="1" x14ac:dyDescent="0.6">
      <c r="C116" s="777" t="s">
        <v>447</v>
      </c>
      <c r="D116" s="777"/>
      <c r="E116" s="777"/>
      <c r="F116" s="345"/>
      <c r="G116" s="345"/>
      <c r="H116" s="345"/>
      <c r="M116" s="473">
        <v>2000</v>
      </c>
      <c r="N116" s="468">
        <v>242</v>
      </c>
      <c r="O116" s="469">
        <v>1618</v>
      </c>
      <c r="R116" s="473">
        <v>1974</v>
      </c>
      <c r="S116" s="468">
        <v>159</v>
      </c>
      <c r="T116" s="468"/>
      <c r="U116" s="468"/>
    </row>
    <row r="117" spans="3:21" ht="14.7" thickBot="1" x14ac:dyDescent="0.6">
      <c r="C117" s="777" t="s">
        <v>448</v>
      </c>
      <c r="D117" s="777"/>
      <c r="E117" s="777"/>
      <c r="F117" s="345"/>
      <c r="G117" s="345"/>
      <c r="H117" s="345"/>
      <c r="M117" s="474">
        <v>2001</v>
      </c>
      <c r="N117" s="470">
        <v>336</v>
      </c>
      <c r="O117" s="471">
        <v>3038</v>
      </c>
      <c r="R117" s="474">
        <v>1975</v>
      </c>
      <c r="S117" s="470">
        <v>275</v>
      </c>
      <c r="T117" s="470"/>
      <c r="U117" s="470"/>
    </row>
    <row r="118" spans="3:21" ht="13.2" thickBot="1" x14ac:dyDescent="0.55000000000000004">
      <c r="M118" s="473">
        <v>2002</v>
      </c>
      <c r="N118" s="468">
        <v>562</v>
      </c>
      <c r="O118" s="469">
        <v>9321</v>
      </c>
      <c r="R118" s="473">
        <v>1976</v>
      </c>
      <c r="S118" s="468">
        <v>92</v>
      </c>
      <c r="T118" s="468"/>
      <c r="U118" s="468"/>
    </row>
    <row r="119" spans="3:21" ht="13.2" thickBot="1" x14ac:dyDescent="0.55000000000000004">
      <c r="M119" s="474">
        <v>2003</v>
      </c>
      <c r="N119" s="470">
        <v>489</v>
      </c>
      <c r="O119" s="471">
        <v>4072</v>
      </c>
      <c r="R119" s="474">
        <v>1977</v>
      </c>
      <c r="S119" s="470">
        <v>36</v>
      </c>
      <c r="T119" s="470"/>
      <c r="U119" s="470"/>
    </row>
    <row r="120" spans="3:21" ht="13.2" thickBot="1" x14ac:dyDescent="0.55000000000000004">
      <c r="M120" s="473">
        <v>2004</v>
      </c>
      <c r="N120" s="468">
        <v>652</v>
      </c>
      <c r="O120" s="469">
        <v>4276</v>
      </c>
      <c r="R120" s="473">
        <v>1978</v>
      </c>
      <c r="S120" s="468">
        <v>104</v>
      </c>
      <c r="T120" s="468"/>
      <c r="U120" s="468"/>
    </row>
    <row r="121" spans="3:21" ht="13.2" thickBot="1" x14ac:dyDescent="0.55000000000000004">
      <c r="M121" s="474">
        <v>2005</v>
      </c>
      <c r="N121" s="470">
        <v>496</v>
      </c>
      <c r="O121" s="471">
        <v>3808</v>
      </c>
      <c r="R121" s="474">
        <v>1979</v>
      </c>
      <c r="S121" s="470">
        <v>69</v>
      </c>
      <c r="T121" s="470"/>
      <c r="U121" s="470"/>
    </row>
    <row r="122" spans="3:21" ht="13.2" thickBot="1" x14ac:dyDescent="0.55000000000000004">
      <c r="M122" s="473">
        <v>2006</v>
      </c>
      <c r="N122" s="468">
        <v>422</v>
      </c>
      <c r="O122" s="469">
        <v>2697</v>
      </c>
      <c r="R122" s="473">
        <v>1980</v>
      </c>
      <c r="S122" s="468">
        <v>50</v>
      </c>
      <c r="T122" s="468"/>
      <c r="U122" s="468"/>
    </row>
    <row r="123" spans="3:21" ht="13.2" thickBot="1" x14ac:dyDescent="0.55000000000000004">
      <c r="M123" s="474">
        <v>2007</v>
      </c>
      <c r="N123" s="470">
        <v>369</v>
      </c>
      <c r="O123" s="471">
        <v>3006</v>
      </c>
      <c r="R123" s="474">
        <v>1981</v>
      </c>
      <c r="S123" s="470">
        <v>30</v>
      </c>
      <c r="T123" s="470"/>
      <c r="U123" s="470"/>
    </row>
    <row r="124" spans="3:21" ht="13.2" thickBot="1" x14ac:dyDescent="0.55000000000000004">
      <c r="M124" s="473">
        <v>2008</v>
      </c>
      <c r="N124" s="468">
        <v>729</v>
      </c>
      <c r="O124" s="469">
        <v>2576</v>
      </c>
      <c r="R124" s="473">
        <v>1982</v>
      </c>
      <c r="S124" s="468">
        <v>125</v>
      </c>
      <c r="T124" s="468"/>
      <c r="U124" s="468"/>
    </row>
    <row r="125" spans="3:21" ht="13.2" thickBot="1" x14ac:dyDescent="0.55000000000000004">
      <c r="M125" s="474">
        <v>2009</v>
      </c>
      <c r="N125" s="470">
        <v>656</v>
      </c>
      <c r="O125" s="471">
        <v>3375</v>
      </c>
      <c r="R125" s="474">
        <v>1983</v>
      </c>
      <c r="S125" s="470">
        <v>651</v>
      </c>
      <c r="T125" s="470"/>
      <c r="U125" s="470"/>
    </row>
    <row r="126" spans="3:21" ht="13.2" thickBot="1" x14ac:dyDescent="0.55000000000000004">
      <c r="M126" s="473">
        <v>2010</v>
      </c>
      <c r="N126" s="469">
        <v>1102</v>
      </c>
      <c r="O126" s="469">
        <v>6679</v>
      </c>
      <c r="R126" s="473">
        <v>1984</v>
      </c>
      <c r="S126" s="468">
        <v>533</v>
      </c>
      <c r="T126" s="468"/>
      <c r="U126" s="468"/>
    </row>
    <row r="127" spans="3:21" ht="13.2" thickBot="1" x14ac:dyDescent="0.55000000000000004">
      <c r="M127" s="474">
        <v>2011</v>
      </c>
      <c r="N127" s="470">
        <v>987</v>
      </c>
      <c r="O127" s="471">
        <v>2116</v>
      </c>
      <c r="R127" s="474">
        <v>1985</v>
      </c>
      <c r="S127" s="470">
        <v>671</v>
      </c>
      <c r="T127" s="470"/>
      <c r="U127" s="470"/>
    </row>
    <row r="128" spans="3:21" ht="13.2" thickBot="1" x14ac:dyDescent="0.55000000000000004">
      <c r="M128" s="473">
        <v>2012</v>
      </c>
      <c r="N128" s="468">
        <v>770</v>
      </c>
      <c r="O128" s="469">
        <v>3435</v>
      </c>
      <c r="R128" s="473">
        <v>1986</v>
      </c>
      <c r="S128" s="469">
        <v>1514</v>
      </c>
      <c r="T128" s="468"/>
      <c r="U128" s="468"/>
    </row>
    <row r="129" spans="13:21" ht="13.2" thickBot="1" x14ac:dyDescent="0.55000000000000004">
      <c r="M129" s="474">
        <v>2013</v>
      </c>
      <c r="N129" s="470">
        <v>494</v>
      </c>
      <c r="O129" s="471">
        <v>2731</v>
      </c>
      <c r="R129" s="474">
        <v>1987</v>
      </c>
      <c r="S129" s="470"/>
      <c r="T129" s="471">
        <v>3717</v>
      </c>
      <c r="U129" s="470">
        <v>776</v>
      </c>
    </row>
    <row r="130" spans="13:21" ht="13.2" thickBot="1" x14ac:dyDescent="0.55000000000000004">
      <c r="M130" s="473">
        <v>2014</v>
      </c>
      <c r="N130" s="469">
        <v>1002</v>
      </c>
      <c r="O130" s="469">
        <v>1526</v>
      </c>
      <c r="R130" s="473">
        <v>1988</v>
      </c>
      <c r="S130" s="468"/>
      <c r="T130" s="469">
        <v>2621</v>
      </c>
      <c r="U130" s="469">
        <v>1415</v>
      </c>
    </row>
    <row r="131" spans="13:21" ht="13.2" thickBot="1" x14ac:dyDescent="0.55000000000000004">
      <c r="M131" s="474">
        <v>2015</v>
      </c>
      <c r="N131" s="471">
        <v>1113</v>
      </c>
      <c r="O131" s="471">
        <v>1526</v>
      </c>
      <c r="R131" s="474">
        <v>1989</v>
      </c>
      <c r="S131" s="470"/>
      <c r="T131" s="471">
        <v>1664</v>
      </c>
      <c r="U131" s="470">
        <v>905</v>
      </c>
    </row>
    <row r="132" spans="13:21" ht="13.2" thickBot="1" x14ac:dyDescent="0.55000000000000004">
      <c r="M132" s="473">
        <v>2016</v>
      </c>
      <c r="N132" s="468">
        <v>942</v>
      </c>
      <c r="O132" s="469">
        <v>2224</v>
      </c>
      <c r="R132" s="473">
        <v>1990</v>
      </c>
      <c r="S132" s="468"/>
      <c r="T132" s="469">
        <v>1339</v>
      </c>
      <c r="U132" s="468">
        <v>847</v>
      </c>
    </row>
    <row r="133" spans="13:21" ht="13.2" thickBot="1" x14ac:dyDescent="0.55000000000000004">
      <c r="M133" s="475">
        <v>2017</v>
      </c>
      <c r="N133" s="476">
        <v>469</v>
      </c>
      <c r="O133" s="477">
        <v>1426</v>
      </c>
      <c r="R133" s="474">
        <v>1991</v>
      </c>
      <c r="S133" s="470"/>
      <c r="T133" s="470">
        <v>891</v>
      </c>
      <c r="U133" s="470">
        <v>435</v>
      </c>
    </row>
    <row r="134" spans="13:21" ht="13.2" thickBot="1" x14ac:dyDescent="0.55000000000000004">
      <c r="R134" s="473">
        <v>1992</v>
      </c>
      <c r="S134" s="468"/>
      <c r="T134" s="469">
        <v>1207</v>
      </c>
      <c r="U134" s="468">
        <v>801</v>
      </c>
    </row>
    <row r="135" spans="13:21" ht="13.2" thickBot="1" x14ac:dyDescent="0.55000000000000004">
      <c r="R135" s="474">
        <v>1993</v>
      </c>
      <c r="S135" s="470"/>
      <c r="T135" s="471">
        <v>2673</v>
      </c>
      <c r="U135" s="470">
        <v>495</v>
      </c>
    </row>
    <row r="136" spans="13:21" ht="13.2" thickBot="1" x14ac:dyDescent="0.55000000000000004">
      <c r="R136" s="473">
        <v>1994</v>
      </c>
      <c r="S136" s="468"/>
      <c r="T136" s="468">
        <v>895</v>
      </c>
      <c r="U136" s="468">
        <v>272</v>
      </c>
    </row>
    <row r="137" spans="13:21" ht="13.2" thickBot="1" x14ac:dyDescent="0.55000000000000004">
      <c r="R137" s="474">
        <v>1995</v>
      </c>
      <c r="S137" s="470"/>
      <c r="T137" s="471">
        <v>1489</v>
      </c>
      <c r="U137" s="470">
        <v>259</v>
      </c>
    </row>
    <row r="138" spans="13:21" ht="13.2" thickBot="1" x14ac:dyDescent="0.55000000000000004">
      <c r="R138" s="473">
        <v>1996</v>
      </c>
      <c r="S138" s="468"/>
      <c r="T138" s="468">
        <v>963</v>
      </c>
      <c r="U138" s="468">
        <v>343</v>
      </c>
    </row>
    <row r="139" spans="13:21" ht="13.2" thickBot="1" x14ac:dyDescent="0.55000000000000004">
      <c r="R139" s="474">
        <v>1997</v>
      </c>
      <c r="S139" s="470"/>
      <c r="T139" s="470">
        <v>229</v>
      </c>
      <c r="U139" s="470">
        <v>242</v>
      </c>
    </row>
    <row r="140" spans="13:21" ht="13.2" thickBot="1" x14ac:dyDescent="0.55000000000000004">
      <c r="R140" s="473">
        <v>1998</v>
      </c>
      <c r="S140" s="468"/>
      <c r="T140" s="468">
        <v>352</v>
      </c>
      <c r="U140" s="468">
        <v>252</v>
      </c>
    </row>
    <row r="141" spans="13:21" ht="13.2" thickBot="1" x14ac:dyDescent="0.55000000000000004">
      <c r="R141" s="474">
        <v>1999</v>
      </c>
      <c r="S141" s="470"/>
      <c r="T141" s="470">
        <v>106</v>
      </c>
      <c r="U141" s="470">
        <v>239</v>
      </c>
    </row>
    <row r="142" spans="13:21" ht="13.2" thickBot="1" x14ac:dyDescent="0.55000000000000004">
      <c r="R142" s="473">
        <v>2000</v>
      </c>
      <c r="S142" s="468"/>
      <c r="T142" s="468">
        <v>693</v>
      </c>
      <c r="U142" s="468">
        <v>356</v>
      </c>
    </row>
    <row r="143" spans="13:21" ht="13.2" thickBot="1" x14ac:dyDescent="0.55000000000000004">
      <c r="R143" s="474">
        <v>2001</v>
      </c>
      <c r="S143" s="470"/>
      <c r="T143" s="470">
        <v>952</v>
      </c>
      <c r="U143" s="470">
        <v>704</v>
      </c>
    </row>
    <row r="144" spans="13:21" ht="13.2" thickBot="1" x14ac:dyDescent="0.55000000000000004">
      <c r="R144" s="473">
        <v>2002</v>
      </c>
      <c r="S144" s="468"/>
      <c r="T144" s="469">
        <v>3083</v>
      </c>
      <c r="U144" s="469">
        <v>1968</v>
      </c>
    </row>
    <row r="145" spans="18:21" ht="13.2" thickBot="1" x14ac:dyDescent="0.55000000000000004">
      <c r="R145" s="474">
        <v>2003</v>
      </c>
      <c r="S145" s="470"/>
      <c r="T145" s="471">
        <v>1745</v>
      </c>
      <c r="U145" s="470">
        <v>853</v>
      </c>
    </row>
    <row r="146" spans="18:21" ht="13.2" thickBot="1" x14ac:dyDescent="0.55000000000000004">
      <c r="R146" s="473">
        <v>2004</v>
      </c>
      <c r="S146" s="468"/>
      <c r="T146" s="469">
        <v>2284</v>
      </c>
      <c r="U146" s="468">
        <v>656</v>
      </c>
    </row>
    <row r="147" spans="18:21" ht="13.2" thickBot="1" x14ac:dyDescent="0.55000000000000004">
      <c r="R147" s="474">
        <v>2005</v>
      </c>
      <c r="S147" s="470"/>
      <c r="T147" s="471">
        <v>2795</v>
      </c>
      <c r="U147" s="470">
        <v>813</v>
      </c>
    </row>
    <row r="148" spans="18:21" ht="13.2" thickBot="1" x14ac:dyDescent="0.55000000000000004">
      <c r="R148" s="473">
        <v>2006</v>
      </c>
      <c r="S148" s="468"/>
      <c r="T148" s="469">
        <v>1308</v>
      </c>
      <c r="U148" s="468">
        <v>906</v>
      </c>
    </row>
    <row r="149" spans="18:21" ht="13.2" thickBot="1" x14ac:dyDescent="0.55000000000000004">
      <c r="R149" s="474">
        <v>2007</v>
      </c>
      <c r="S149" s="470"/>
      <c r="T149" s="470">
        <v>482</v>
      </c>
      <c r="U149" s="470">
        <v>387</v>
      </c>
    </row>
    <row r="150" spans="18:21" ht="13.2" thickBot="1" x14ac:dyDescent="0.55000000000000004">
      <c r="R150" s="473">
        <v>2008</v>
      </c>
      <c r="S150" s="468"/>
      <c r="T150" s="469">
        <v>1121</v>
      </c>
      <c r="U150" s="468">
        <v>714</v>
      </c>
    </row>
    <row r="151" spans="18:21" ht="13.2" thickBot="1" x14ac:dyDescent="0.55000000000000004">
      <c r="R151" s="474">
        <v>2009</v>
      </c>
      <c r="S151" s="470"/>
      <c r="T151" s="471">
        <v>1024</v>
      </c>
      <c r="U151" s="470">
        <v>709</v>
      </c>
    </row>
    <row r="152" spans="18:21" ht="13.2" thickBot="1" x14ac:dyDescent="0.55000000000000004">
      <c r="R152" s="473">
        <v>2010</v>
      </c>
      <c r="S152" s="468"/>
      <c r="T152" s="469">
        <v>3999</v>
      </c>
      <c r="U152" s="469">
        <v>2237</v>
      </c>
    </row>
    <row r="153" spans="18:21" ht="13.2" thickBot="1" x14ac:dyDescent="0.55000000000000004">
      <c r="R153" s="474">
        <v>2011</v>
      </c>
      <c r="S153" s="470"/>
      <c r="T153" s="470">
        <v>859</v>
      </c>
      <c r="U153" s="471">
        <v>2189</v>
      </c>
    </row>
    <row r="154" spans="18:21" ht="13.2" thickBot="1" x14ac:dyDescent="0.55000000000000004">
      <c r="R154" s="473">
        <v>2012</v>
      </c>
      <c r="S154" s="468"/>
      <c r="T154" s="469">
        <v>1094</v>
      </c>
      <c r="U154" s="469">
        <v>1420</v>
      </c>
    </row>
    <row r="155" spans="18:21" ht="13.2" thickBot="1" x14ac:dyDescent="0.55000000000000004">
      <c r="R155" s="474">
        <v>2013</v>
      </c>
      <c r="S155" s="470"/>
      <c r="T155" s="471">
        <v>1050</v>
      </c>
      <c r="U155" s="470">
        <v>931</v>
      </c>
    </row>
    <row r="156" spans="18:21" ht="13.2" thickBot="1" x14ac:dyDescent="0.55000000000000004">
      <c r="R156" s="473">
        <v>2014</v>
      </c>
      <c r="S156" s="468"/>
      <c r="T156" s="468">
        <v>584</v>
      </c>
      <c r="U156" s="469">
        <v>1151</v>
      </c>
    </row>
    <row r="157" spans="18:21" ht="13.2" thickBot="1" x14ac:dyDescent="0.55000000000000004">
      <c r="R157" s="474">
        <v>2015</v>
      </c>
      <c r="S157" s="470"/>
      <c r="T157" s="470">
        <v>799</v>
      </c>
      <c r="U157" s="470">
        <v>939</v>
      </c>
    </row>
    <row r="158" spans="18:21" ht="13.2" thickBot="1" x14ac:dyDescent="0.55000000000000004">
      <c r="R158" s="473">
        <v>2016</v>
      </c>
      <c r="S158" s="468"/>
      <c r="T158" s="468">
        <v>385</v>
      </c>
      <c r="U158" s="468">
        <v>367</v>
      </c>
    </row>
    <row r="159" spans="18:21" ht="13.2" thickBot="1" x14ac:dyDescent="0.55000000000000004">
      <c r="R159" s="475">
        <v>2017</v>
      </c>
      <c r="S159" s="476"/>
      <c r="T159" s="476">
        <v>344</v>
      </c>
      <c r="U159" s="476">
        <v>330</v>
      </c>
    </row>
  </sheetData>
  <mergeCells count="10">
    <mergeCell ref="C5:O5"/>
    <mergeCell ref="E6:K6"/>
    <mergeCell ref="C23:Q23"/>
    <mergeCell ref="C51:H51"/>
    <mergeCell ref="C73:H73"/>
    <mergeCell ref="C98:H98"/>
    <mergeCell ref="C114:F114"/>
    <mergeCell ref="C115:D115"/>
    <mergeCell ref="C116:E116"/>
    <mergeCell ref="C117:E117"/>
  </mergeCells>
  <pageMargins left="0.7" right="0.7" top="0.75" bottom="0.75" header="0.3" footer="0.3"/>
  <pageSetup orientation="portrait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B1:L34"/>
  <sheetViews>
    <sheetView workbookViewId="0">
      <selection activeCell="H25" sqref="H25"/>
    </sheetView>
  </sheetViews>
  <sheetFormatPr defaultRowHeight="12.9" x14ac:dyDescent="0.5"/>
  <cols>
    <col min="2" max="2" width="30.41015625" customWidth="1"/>
    <col min="3" max="3" width="33.52734375" customWidth="1"/>
    <col min="6" max="6" width="4.1171875" customWidth="1"/>
    <col min="9" max="9" width="4.1171875" customWidth="1"/>
  </cols>
  <sheetData>
    <row r="1" spans="2:12" ht="13.2" thickBot="1" x14ac:dyDescent="0.55000000000000004"/>
    <row r="2" spans="2:12" ht="15.3" thickBot="1" x14ac:dyDescent="0.55000000000000004">
      <c r="B2" s="784" t="s">
        <v>336</v>
      </c>
      <c r="C2" s="784"/>
      <c r="D2" s="784"/>
      <c r="E2" s="784"/>
      <c r="F2" s="784"/>
      <c r="G2" s="784"/>
      <c r="H2" s="784"/>
      <c r="I2" s="784"/>
      <c r="J2" s="784"/>
      <c r="K2" s="784"/>
      <c r="L2" s="784"/>
    </row>
    <row r="3" spans="2:12" ht="13.5" thickTop="1" thickBot="1" x14ac:dyDescent="0.55000000000000004">
      <c r="B3" s="20">
        <v>2014</v>
      </c>
      <c r="C3" s="26"/>
      <c r="D3" s="785" t="s">
        <v>337</v>
      </c>
      <c r="E3" s="786"/>
      <c r="F3" s="24"/>
      <c r="G3" s="786" t="s">
        <v>449</v>
      </c>
      <c r="H3" s="786"/>
      <c r="I3" s="24"/>
      <c r="J3" s="786" t="s">
        <v>339</v>
      </c>
      <c r="K3" s="786"/>
      <c r="L3" s="24"/>
    </row>
    <row r="4" spans="2:12" ht="13.2" thickBot="1" x14ac:dyDescent="0.55000000000000004">
      <c r="B4" s="22" t="s">
        <v>340</v>
      </c>
      <c r="C4" s="29"/>
      <c r="D4" s="27" t="s">
        <v>341</v>
      </c>
      <c r="E4" s="27" t="s">
        <v>259</v>
      </c>
      <c r="F4" s="24"/>
      <c r="G4" s="27" t="s">
        <v>341</v>
      </c>
      <c r="H4" s="27" t="s">
        <v>259</v>
      </c>
      <c r="I4" s="24"/>
      <c r="J4" s="30" t="s">
        <v>341</v>
      </c>
      <c r="K4" s="30" t="s">
        <v>342</v>
      </c>
      <c r="L4" s="24"/>
    </row>
    <row r="5" spans="2:12" ht="14.7" x14ac:dyDescent="0.5">
      <c r="B5" s="21" t="s">
        <v>343</v>
      </c>
      <c r="C5" s="26"/>
      <c r="D5" s="35" t="s">
        <v>450</v>
      </c>
      <c r="E5" s="35" t="e">
        <f>'T2'!#REF!</f>
        <v>#REF!</v>
      </c>
      <c r="F5" s="25"/>
      <c r="G5" s="35">
        <v>0.02</v>
      </c>
      <c r="H5" s="35" t="e">
        <f>'T2'!#REF!</f>
        <v>#REF!</v>
      </c>
      <c r="I5" s="25"/>
      <c r="J5" s="35">
        <v>0.12</v>
      </c>
      <c r="K5" s="35" t="e">
        <f>E5+H5</f>
        <v>#REF!</v>
      </c>
      <c r="L5" s="24"/>
    </row>
    <row r="6" spans="2:12" ht="14.7" x14ac:dyDescent="0.5">
      <c r="B6" s="21" t="s">
        <v>344</v>
      </c>
      <c r="C6" s="26"/>
      <c r="D6" s="35" t="s">
        <v>450</v>
      </c>
      <c r="E6" s="35">
        <f>'T2'!I8</f>
        <v>0.10813426675985484</v>
      </c>
      <c r="F6" s="25"/>
      <c r="G6" s="35">
        <v>0.02</v>
      </c>
      <c r="H6" s="35">
        <f>'T2'!H8</f>
        <v>1.6743444174031483E-2</v>
      </c>
      <c r="I6" s="25"/>
      <c r="J6" s="35">
        <v>0.12</v>
      </c>
      <c r="K6" s="35">
        <f>E6+H6</f>
        <v>0.12487771093388632</v>
      </c>
      <c r="L6" s="24"/>
    </row>
    <row r="7" spans="2:12" x14ac:dyDescent="0.5">
      <c r="B7" s="21" t="s">
        <v>451</v>
      </c>
      <c r="C7" s="26" t="s">
        <v>346</v>
      </c>
      <c r="D7" s="35" t="s">
        <v>347</v>
      </c>
      <c r="E7" s="35" t="s">
        <v>347</v>
      </c>
      <c r="F7" s="25"/>
      <c r="G7" s="35">
        <v>0.15</v>
      </c>
      <c r="H7" s="35"/>
      <c r="I7" s="25"/>
      <c r="J7" s="35"/>
      <c r="K7" s="35"/>
      <c r="L7" s="25"/>
    </row>
    <row r="8" spans="2:12" x14ac:dyDescent="0.5">
      <c r="B8" s="21" t="s">
        <v>298</v>
      </c>
      <c r="C8" s="26" t="s">
        <v>346</v>
      </c>
      <c r="D8" s="35" t="s">
        <v>347</v>
      </c>
      <c r="E8" s="35" t="s">
        <v>347</v>
      </c>
      <c r="F8" s="25"/>
      <c r="G8" s="37" t="s">
        <v>348</v>
      </c>
      <c r="H8" s="35"/>
      <c r="I8" s="25"/>
      <c r="J8" s="35"/>
      <c r="K8" s="35"/>
      <c r="L8" s="25"/>
    </row>
    <row r="9" spans="2:12" ht="14.7" x14ac:dyDescent="0.5">
      <c r="B9" s="21"/>
      <c r="C9" s="26" t="s">
        <v>349</v>
      </c>
      <c r="D9" s="35" t="s">
        <v>347</v>
      </c>
      <c r="E9" s="35" t="s">
        <v>347</v>
      </c>
      <c r="F9" s="25"/>
      <c r="G9" s="35" t="s">
        <v>452</v>
      </c>
      <c r="H9" s="35">
        <v>0.40799999999999997</v>
      </c>
      <c r="I9" s="25"/>
      <c r="J9" s="35"/>
      <c r="K9" s="35"/>
      <c r="L9" s="25"/>
    </row>
    <row r="10" spans="2:12" ht="14.4" x14ac:dyDescent="0.5">
      <c r="B10" s="21"/>
      <c r="C10" s="26" t="s">
        <v>453</v>
      </c>
      <c r="D10" s="35" t="s">
        <v>347</v>
      </c>
      <c r="E10" s="35" t="s">
        <v>347</v>
      </c>
      <c r="F10" s="25"/>
      <c r="G10" s="37" t="s">
        <v>454</v>
      </c>
      <c r="H10" s="35"/>
      <c r="I10" s="25"/>
      <c r="J10" s="35"/>
      <c r="K10" s="35"/>
      <c r="L10" s="25"/>
    </row>
    <row r="11" spans="2:12" x14ac:dyDescent="0.5">
      <c r="B11" s="21" t="s">
        <v>353</v>
      </c>
      <c r="C11" s="26"/>
      <c r="D11" s="35">
        <v>0.3</v>
      </c>
      <c r="E11" s="35">
        <v>0.224</v>
      </c>
      <c r="F11" s="25"/>
      <c r="G11" s="35">
        <v>0.15</v>
      </c>
      <c r="H11" s="35">
        <v>0.124</v>
      </c>
      <c r="I11" s="25"/>
      <c r="J11" s="35">
        <v>0.45</v>
      </c>
      <c r="K11" s="35">
        <f>E11+H11</f>
        <v>0.34799999999999998</v>
      </c>
      <c r="L11" s="25"/>
    </row>
    <row r="12" spans="2:12" x14ac:dyDescent="0.5">
      <c r="B12" s="21" t="s">
        <v>302</v>
      </c>
      <c r="C12" s="26"/>
      <c r="D12" s="35" t="s">
        <v>347</v>
      </c>
      <c r="E12" s="35" t="s">
        <v>347</v>
      </c>
      <c r="F12" s="25"/>
      <c r="G12" s="35">
        <v>0.22500000000000001</v>
      </c>
      <c r="H12" s="35">
        <v>0.17100000000000001</v>
      </c>
      <c r="I12" s="25"/>
      <c r="J12" s="35"/>
      <c r="K12" s="35"/>
      <c r="L12" s="25"/>
    </row>
    <row r="13" spans="2:12" x14ac:dyDescent="0.5">
      <c r="B13" s="21" t="s">
        <v>303</v>
      </c>
      <c r="C13" s="26"/>
      <c r="D13" s="35" t="s">
        <v>347</v>
      </c>
      <c r="E13" s="35" t="s">
        <v>347</v>
      </c>
      <c r="F13" s="25"/>
      <c r="G13" s="35">
        <v>0.05</v>
      </c>
      <c r="H13" s="35">
        <v>8.0000000000000002E-3</v>
      </c>
      <c r="I13" s="25"/>
      <c r="J13" s="35">
        <v>0.05</v>
      </c>
      <c r="K13" s="113"/>
      <c r="L13" s="25"/>
    </row>
    <row r="14" spans="2:12" x14ac:dyDescent="0.5">
      <c r="B14" s="32" t="s">
        <v>96</v>
      </c>
      <c r="C14" s="26"/>
      <c r="D14" s="35">
        <v>7.0000000000000007E-2</v>
      </c>
      <c r="E14" s="36">
        <f>T8Manip!H14</f>
        <v>4.7150748400261656E-2</v>
      </c>
      <c r="F14" s="33"/>
      <c r="G14" s="36">
        <v>0.01</v>
      </c>
      <c r="H14" s="36">
        <f>T8Manip!G14</f>
        <v>2.6223783607213468E-3</v>
      </c>
      <c r="I14" s="33"/>
      <c r="J14" s="36">
        <v>0.08</v>
      </c>
      <c r="K14" s="35">
        <f>E14+H14</f>
        <v>4.9773126760983E-2</v>
      </c>
      <c r="L14" s="25"/>
    </row>
    <row r="15" spans="2:12" ht="28.5" customHeight="1" x14ac:dyDescent="0.5">
      <c r="B15" s="32" t="s">
        <v>299</v>
      </c>
      <c r="C15" s="38" t="s">
        <v>455</v>
      </c>
      <c r="D15" s="35" t="s">
        <v>347</v>
      </c>
      <c r="E15" s="35" t="s">
        <v>347</v>
      </c>
      <c r="F15" s="33"/>
      <c r="G15" s="35">
        <v>0.02</v>
      </c>
      <c r="H15" s="36">
        <v>8.0000000000000002E-3</v>
      </c>
      <c r="I15" s="33"/>
      <c r="J15" s="36"/>
      <c r="K15" s="35"/>
      <c r="L15" s="25"/>
    </row>
    <row r="16" spans="2:12" ht="24" customHeight="1" x14ac:dyDescent="0.5">
      <c r="B16" s="32" t="s">
        <v>299</v>
      </c>
      <c r="C16" s="38" t="s">
        <v>456</v>
      </c>
      <c r="D16" s="35" t="s">
        <v>347</v>
      </c>
      <c r="E16" s="35" t="s">
        <v>347</v>
      </c>
      <c r="F16" s="25"/>
      <c r="G16" s="35">
        <v>0.02</v>
      </c>
      <c r="H16" s="35">
        <v>0</v>
      </c>
      <c r="I16" s="25"/>
      <c r="J16" s="35"/>
      <c r="K16" s="35"/>
      <c r="L16" s="25"/>
    </row>
    <row r="17" spans="2:12" ht="24.75" customHeight="1" x14ac:dyDescent="0.5">
      <c r="B17" s="32" t="s">
        <v>299</v>
      </c>
      <c r="C17" s="38" t="s">
        <v>457</v>
      </c>
      <c r="D17" s="35" t="s">
        <v>347</v>
      </c>
      <c r="E17" s="35" t="s">
        <v>347</v>
      </c>
      <c r="F17" s="25"/>
      <c r="G17" s="35">
        <v>0.02</v>
      </c>
      <c r="H17" s="35">
        <v>1.2999999999999999E-2</v>
      </c>
      <c r="I17" s="25"/>
      <c r="J17" s="35"/>
      <c r="K17" s="35"/>
      <c r="L17" s="25"/>
    </row>
    <row r="18" spans="2:12" ht="14.7" x14ac:dyDescent="0.5">
      <c r="B18" s="32" t="s">
        <v>299</v>
      </c>
      <c r="C18" s="38" t="s">
        <v>458</v>
      </c>
      <c r="D18" s="35" t="s">
        <v>459</v>
      </c>
      <c r="E18" s="35">
        <v>0.13500000000000001</v>
      </c>
      <c r="F18" s="25"/>
      <c r="G18" s="35">
        <v>0.02</v>
      </c>
      <c r="H18" s="35">
        <v>1.6E-2</v>
      </c>
      <c r="I18" s="25"/>
      <c r="J18" s="35"/>
      <c r="K18" s="35"/>
      <c r="L18" s="25"/>
    </row>
    <row r="19" spans="2:12" ht="27" customHeight="1" x14ac:dyDescent="0.5">
      <c r="B19" s="21" t="s">
        <v>354</v>
      </c>
      <c r="C19" s="38" t="s">
        <v>460</v>
      </c>
      <c r="D19" s="35" t="s">
        <v>347</v>
      </c>
      <c r="E19" s="35" t="s">
        <v>347</v>
      </c>
      <c r="F19" s="25"/>
      <c r="G19" s="35">
        <v>0.02</v>
      </c>
      <c r="H19" s="35">
        <v>8.0000000000000002E-3</v>
      </c>
      <c r="I19" s="25"/>
      <c r="J19" s="35"/>
      <c r="K19" s="35"/>
      <c r="L19" s="25"/>
    </row>
    <row r="20" spans="2:12" x14ac:dyDescent="0.5">
      <c r="B20" s="21" t="s">
        <v>354</v>
      </c>
      <c r="C20" s="38" t="s">
        <v>461</v>
      </c>
      <c r="D20" s="35" t="s">
        <v>347</v>
      </c>
      <c r="E20" s="35" t="s">
        <v>347</v>
      </c>
      <c r="F20" s="25"/>
      <c r="G20" s="35">
        <v>0.02</v>
      </c>
      <c r="H20" s="35">
        <f>H17</f>
        <v>1.2999999999999999E-2</v>
      </c>
      <c r="I20" s="25"/>
      <c r="J20" s="35"/>
      <c r="K20" s="35"/>
      <c r="L20" s="25"/>
    </row>
    <row r="21" spans="2:12" ht="32.25" customHeight="1" x14ac:dyDescent="0.5">
      <c r="B21" s="21" t="s">
        <v>300</v>
      </c>
      <c r="C21" s="38" t="s">
        <v>462</v>
      </c>
      <c r="D21" s="35" t="s">
        <v>347</v>
      </c>
      <c r="E21" s="35" t="s">
        <v>347</v>
      </c>
      <c r="F21" s="25"/>
      <c r="G21" s="35">
        <v>0.02</v>
      </c>
      <c r="H21" s="35">
        <f>H15</f>
        <v>8.0000000000000002E-3</v>
      </c>
      <c r="I21" s="25"/>
      <c r="J21" s="35"/>
      <c r="K21" s="35"/>
      <c r="L21" s="25"/>
    </row>
    <row r="22" spans="2:12" ht="27.75" customHeight="1" x14ac:dyDescent="0.5">
      <c r="B22" s="21" t="s">
        <v>300</v>
      </c>
      <c r="C22" s="38" t="s">
        <v>463</v>
      </c>
      <c r="D22" s="35" t="s">
        <v>347</v>
      </c>
      <c r="E22" s="35" t="s">
        <v>347</v>
      </c>
      <c r="F22" s="25"/>
      <c r="G22" s="35">
        <v>0.02</v>
      </c>
      <c r="H22" s="35">
        <v>1.2E-2</v>
      </c>
      <c r="I22" s="25"/>
      <c r="J22" s="35"/>
      <c r="K22" s="35"/>
      <c r="L22" s="25"/>
    </row>
    <row r="23" spans="2:12" ht="26.25" customHeight="1" x14ac:dyDescent="0.5">
      <c r="B23" s="21" t="s">
        <v>300</v>
      </c>
      <c r="C23" s="38" t="s">
        <v>464</v>
      </c>
      <c r="D23" s="35" t="s">
        <v>347</v>
      </c>
      <c r="E23" s="35" t="s">
        <v>347</v>
      </c>
      <c r="F23" s="25"/>
      <c r="G23" s="35">
        <v>0.02</v>
      </c>
      <c r="H23" s="35">
        <v>7.0000000000000001E-3</v>
      </c>
      <c r="I23" s="25"/>
      <c r="J23" s="35"/>
      <c r="K23" s="35"/>
      <c r="L23" s="25"/>
    </row>
    <row r="24" spans="2:12" ht="27" customHeight="1" x14ac:dyDescent="0.5">
      <c r="B24" s="21" t="s">
        <v>301</v>
      </c>
      <c r="C24" s="38" t="s">
        <v>462</v>
      </c>
      <c r="D24" s="35" t="s">
        <v>347</v>
      </c>
      <c r="E24" s="35" t="s">
        <v>347</v>
      </c>
      <c r="F24" s="25"/>
      <c r="G24" s="35">
        <v>0.02</v>
      </c>
      <c r="H24" s="35">
        <v>6.0000000000000001E-3</v>
      </c>
      <c r="I24" s="25"/>
      <c r="J24" s="35"/>
      <c r="K24" s="35"/>
      <c r="L24" s="25"/>
    </row>
    <row r="25" spans="2:12" ht="22.5" customHeight="1" x14ac:dyDescent="0.5">
      <c r="B25" s="21" t="s">
        <v>301</v>
      </c>
      <c r="C25" s="38" t="s">
        <v>463</v>
      </c>
      <c r="D25" s="35" t="s">
        <v>347</v>
      </c>
      <c r="E25" s="35" t="s">
        <v>347</v>
      </c>
      <c r="F25" s="25"/>
      <c r="G25" s="35">
        <v>0.02</v>
      </c>
      <c r="H25" s="35">
        <v>0</v>
      </c>
      <c r="I25" s="25"/>
      <c r="J25" s="35"/>
      <c r="K25" s="35"/>
      <c r="L25" s="25"/>
    </row>
    <row r="26" spans="2:12" ht="21.75" customHeight="1" x14ac:dyDescent="0.5">
      <c r="B26" s="21" t="s">
        <v>301</v>
      </c>
      <c r="C26" s="38" t="s">
        <v>464</v>
      </c>
      <c r="D26" s="35" t="s">
        <v>347</v>
      </c>
      <c r="E26" s="35" t="s">
        <v>347</v>
      </c>
      <c r="F26" s="25"/>
      <c r="G26" s="35">
        <v>0.02</v>
      </c>
      <c r="H26" s="35">
        <v>6.0000000000000001E-3</v>
      </c>
      <c r="I26" s="25"/>
      <c r="J26" s="35"/>
      <c r="K26" s="35"/>
      <c r="L26" s="25"/>
    </row>
    <row r="27" spans="2:12" ht="21" customHeight="1" x14ac:dyDescent="0.5">
      <c r="B27" s="21" t="s">
        <v>362</v>
      </c>
      <c r="C27" s="38" t="s">
        <v>464</v>
      </c>
      <c r="D27" s="35" t="s">
        <v>347</v>
      </c>
      <c r="E27" s="35" t="s">
        <v>347</v>
      </c>
      <c r="F27" s="25"/>
      <c r="G27" s="35">
        <v>0.02</v>
      </c>
      <c r="H27" s="35">
        <v>6.0000000000000001E-3</v>
      </c>
      <c r="I27" s="25"/>
      <c r="J27" s="35"/>
      <c r="K27" s="35"/>
      <c r="L27" s="25"/>
    </row>
    <row r="28" spans="2:12" x14ac:dyDescent="0.5">
      <c r="B28" s="21"/>
      <c r="C28" s="26"/>
      <c r="K28" s="25"/>
      <c r="L28" s="25"/>
    </row>
    <row r="29" spans="2:12" x14ac:dyDescent="0.5"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</row>
    <row r="30" spans="2:12" x14ac:dyDescent="0.5">
      <c r="B30" s="783" t="s">
        <v>363</v>
      </c>
      <c r="C30" s="783"/>
      <c r="D30" s="783"/>
      <c r="E30" s="783"/>
      <c r="F30" s="783"/>
      <c r="G30" s="783"/>
      <c r="H30" s="783"/>
      <c r="I30" s="783"/>
      <c r="J30" s="783"/>
      <c r="K30" s="783"/>
      <c r="L30" s="783"/>
    </row>
    <row r="31" spans="2:12" x14ac:dyDescent="0.5">
      <c r="B31" s="783" t="s">
        <v>364</v>
      </c>
      <c r="C31" s="783"/>
      <c r="D31" s="783"/>
      <c r="E31" s="783"/>
      <c r="F31" s="783"/>
      <c r="G31" s="783"/>
      <c r="H31" s="783"/>
      <c r="I31" s="783"/>
      <c r="J31" s="783"/>
      <c r="K31" s="783"/>
      <c r="L31" s="783"/>
    </row>
    <row r="32" spans="2:12" x14ac:dyDescent="0.5">
      <c r="B32" s="783" t="s">
        <v>365</v>
      </c>
      <c r="C32" s="783"/>
      <c r="D32" s="783"/>
      <c r="E32" s="783"/>
      <c r="F32" s="783"/>
      <c r="G32" s="783"/>
      <c r="H32" s="783"/>
      <c r="I32" s="783"/>
      <c r="J32" s="783"/>
      <c r="K32" s="783"/>
      <c r="L32" s="783"/>
    </row>
    <row r="33" spans="2:12" x14ac:dyDescent="0.5">
      <c r="B33" s="783" t="s">
        <v>465</v>
      </c>
      <c r="C33" s="783"/>
      <c r="D33" s="783"/>
      <c r="E33" s="783"/>
      <c r="F33" s="783"/>
      <c r="G33" s="783"/>
      <c r="H33" s="783"/>
      <c r="I33" s="783"/>
      <c r="J33" s="783"/>
      <c r="K33" s="783"/>
      <c r="L33" s="783"/>
    </row>
    <row r="34" spans="2:12" x14ac:dyDescent="0.5">
      <c r="B34" s="783" t="s">
        <v>466</v>
      </c>
      <c r="C34" s="783"/>
      <c r="D34" s="783"/>
      <c r="E34" s="783"/>
      <c r="F34" s="783"/>
      <c r="G34" s="783"/>
      <c r="H34" s="783"/>
      <c r="I34" s="783"/>
      <c r="J34" s="783"/>
      <c r="K34" s="783"/>
      <c r="L34" s="783"/>
    </row>
  </sheetData>
  <mergeCells count="9">
    <mergeCell ref="B32:L32"/>
    <mergeCell ref="B33:L33"/>
    <mergeCell ref="B34:L34"/>
    <mergeCell ref="B2:L2"/>
    <mergeCell ref="D3:E3"/>
    <mergeCell ref="G3:H3"/>
    <mergeCell ref="J3:K3"/>
    <mergeCell ref="B30:L30"/>
    <mergeCell ref="B31:L3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B1:M32"/>
  <sheetViews>
    <sheetView workbookViewId="0">
      <selection activeCell="K17" sqref="K17"/>
    </sheetView>
  </sheetViews>
  <sheetFormatPr defaultRowHeight="12.9" x14ac:dyDescent="0.5"/>
  <sheetData>
    <row r="1" spans="2:13" ht="13.2" thickBot="1" x14ac:dyDescent="0.55000000000000004"/>
    <row r="2" spans="2:13" ht="15.6" thickBot="1" x14ac:dyDescent="0.55000000000000004">
      <c r="B2" s="756" t="s">
        <v>336</v>
      </c>
      <c r="C2" s="756"/>
      <c r="D2" s="756"/>
      <c r="E2" s="756"/>
      <c r="F2" s="756"/>
      <c r="G2" s="756"/>
      <c r="H2" s="756"/>
      <c r="I2" s="756"/>
      <c r="J2" s="756"/>
      <c r="K2" s="756"/>
      <c r="L2" s="756"/>
      <c r="M2" s="114"/>
    </row>
    <row r="3" spans="2:13" ht="15.9" thickTop="1" thickBot="1" x14ac:dyDescent="0.55000000000000004">
      <c r="B3" s="115">
        <v>2013</v>
      </c>
      <c r="C3" s="116"/>
      <c r="D3" s="759" t="s">
        <v>337</v>
      </c>
      <c r="E3" s="760"/>
      <c r="F3" s="21"/>
      <c r="G3" s="760" t="s">
        <v>449</v>
      </c>
      <c r="H3" s="760"/>
      <c r="I3" s="21"/>
      <c r="J3" s="760" t="s">
        <v>339</v>
      </c>
      <c r="K3" s="760"/>
      <c r="L3" s="21"/>
      <c r="M3" s="114"/>
    </row>
    <row r="4" spans="2:13" ht="15.6" thickBot="1" x14ac:dyDescent="0.55000000000000004">
      <c r="B4" s="504" t="s">
        <v>340</v>
      </c>
      <c r="C4" s="119"/>
      <c r="D4" s="118" t="s">
        <v>341</v>
      </c>
      <c r="E4" s="118" t="s">
        <v>259</v>
      </c>
      <c r="F4" s="21"/>
      <c r="G4" s="118" t="s">
        <v>341</v>
      </c>
      <c r="H4" s="118" t="s">
        <v>259</v>
      </c>
      <c r="I4" s="21"/>
      <c r="J4" s="118" t="s">
        <v>341</v>
      </c>
      <c r="K4" s="118" t="s">
        <v>342</v>
      </c>
      <c r="L4" s="21"/>
      <c r="M4" s="114"/>
    </row>
    <row r="5" spans="2:13" ht="15.3" x14ac:dyDescent="0.5">
      <c r="B5" s="517" t="s">
        <v>343</v>
      </c>
      <c r="C5" s="116"/>
      <c r="D5" s="117" t="s">
        <v>467</v>
      </c>
      <c r="E5" s="120">
        <v>7.8E-2</v>
      </c>
      <c r="F5" s="21"/>
      <c r="G5" s="120">
        <v>1.7000000000000001E-2</v>
      </c>
      <c r="H5" s="120">
        <v>1.4E-2</v>
      </c>
      <c r="I5" s="21"/>
      <c r="J5" s="120">
        <v>0.1</v>
      </c>
      <c r="K5" s="120">
        <v>9.1999999999999998E-2</v>
      </c>
      <c r="L5" s="21"/>
      <c r="M5" s="114"/>
    </row>
    <row r="6" spans="2:13" ht="15.3" x14ac:dyDescent="0.5">
      <c r="B6" s="517" t="s">
        <v>344</v>
      </c>
      <c r="C6" s="116"/>
      <c r="D6" s="117" t="s">
        <v>467</v>
      </c>
      <c r="E6" s="120">
        <v>7.8E-2</v>
      </c>
      <c r="F6" s="21"/>
      <c r="G6" s="120">
        <v>1.7000000000000001E-2</v>
      </c>
      <c r="H6" s="120">
        <v>1.2999999999999999E-2</v>
      </c>
      <c r="I6" s="21"/>
      <c r="J6" s="120">
        <v>0.1</v>
      </c>
      <c r="K6" s="120">
        <v>9.0999999999999998E-2</v>
      </c>
      <c r="L6" s="21"/>
      <c r="M6" s="114"/>
    </row>
    <row r="7" spans="2:13" ht="15.3" x14ac:dyDescent="0.5">
      <c r="B7" s="517" t="s">
        <v>451</v>
      </c>
      <c r="C7" s="116" t="s">
        <v>346</v>
      </c>
      <c r="D7" s="117" t="s">
        <v>347</v>
      </c>
      <c r="E7" s="117" t="s">
        <v>347</v>
      </c>
      <c r="F7" s="21"/>
      <c r="G7" s="120">
        <v>0.15</v>
      </c>
      <c r="H7" s="120">
        <v>0.09</v>
      </c>
      <c r="I7" s="21"/>
      <c r="J7" s="121">
        <v>0.15</v>
      </c>
      <c r="K7" s="120">
        <v>0.09</v>
      </c>
      <c r="L7" s="21"/>
      <c r="M7" s="114"/>
    </row>
    <row r="8" spans="2:13" ht="15.3" x14ac:dyDescent="0.5">
      <c r="B8" s="517" t="s">
        <v>298</v>
      </c>
      <c r="C8" s="116" t="s">
        <v>346</v>
      </c>
      <c r="D8" s="117" t="s">
        <v>347</v>
      </c>
      <c r="E8" s="117" t="s">
        <v>347</v>
      </c>
      <c r="F8" s="21"/>
      <c r="G8" s="122" t="s">
        <v>348</v>
      </c>
      <c r="H8" s="21"/>
      <c r="I8" s="21"/>
      <c r="J8" s="21"/>
      <c r="K8" s="21"/>
      <c r="L8" s="21"/>
      <c r="M8" s="114"/>
    </row>
    <row r="9" spans="2:13" ht="15.3" x14ac:dyDescent="0.5">
      <c r="B9" s="21"/>
      <c r="C9" s="116" t="s">
        <v>349</v>
      </c>
      <c r="D9" s="117" t="s">
        <v>347</v>
      </c>
      <c r="E9" s="117" t="s">
        <v>347</v>
      </c>
      <c r="F9" s="21"/>
      <c r="G9" s="117" t="s">
        <v>350</v>
      </c>
      <c r="H9" s="120">
        <v>0.32900000000000001</v>
      </c>
      <c r="I9" s="21"/>
      <c r="J9" s="120">
        <v>0.41</v>
      </c>
      <c r="K9" s="120">
        <v>0.32900000000000001</v>
      </c>
      <c r="L9" s="21"/>
      <c r="M9" s="114"/>
    </row>
    <row r="10" spans="2:13" ht="15.3" x14ac:dyDescent="0.5">
      <c r="B10" s="21"/>
      <c r="C10" s="116" t="s">
        <v>351</v>
      </c>
      <c r="D10" s="117" t="s">
        <v>347</v>
      </c>
      <c r="E10" s="117" t="s">
        <v>347</v>
      </c>
      <c r="F10" s="21"/>
      <c r="G10" s="122" t="s">
        <v>352</v>
      </c>
      <c r="H10" s="21"/>
      <c r="I10" s="21"/>
      <c r="J10" s="21"/>
      <c r="K10" s="21"/>
      <c r="L10" s="21"/>
      <c r="M10" s="114"/>
    </row>
    <row r="11" spans="2:13" ht="15.3" x14ac:dyDescent="0.5">
      <c r="B11" s="517" t="s">
        <v>353</v>
      </c>
      <c r="C11" s="116" t="s">
        <v>468</v>
      </c>
      <c r="D11" s="120">
        <v>0.3</v>
      </c>
      <c r="E11" s="120">
        <v>0.20699999999999999</v>
      </c>
      <c r="F11" s="21"/>
      <c r="G11" s="120">
        <v>0.15</v>
      </c>
      <c r="H11" s="120">
        <v>0.106</v>
      </c>
      <c r="I11" s="21"/>
      <c r="J11" s="120">
        <v>0.45</v>
      </c>
      <c r="K11" s="120">
        <v>0.313</v>
      </c>
      <c r="L11" s="21"/>
      <c r="M11" s="114"/>
    </row>
    <row r="12" spans="2:13" ht="15.3" x14ac:dyDescent="0.5">
      <c r="B12" s="517" t="s">
        <v>302</v>
      </c>
      <c r="C12" s="116"/>
      <c r="D12" s="117" t="s">
        <v>347</v>
      </c>
      <c r="E12" s="117" t="s">
        <v>347</v>
      </c>
      <c r="F12" s="21"/>
      <c r="G12" s="120">
        <v>0.15</v>
      </c>
      <c r="H12" s="120">
        <v>0.13100000000000001</v>
      </c>
      <c r="I12" s="21"/>
      <c r="J12" s="120">
        <v>0.15</v>
      </c>
      <c r="K12" s="120">
        <v>0.13100000000000001</v>
      </c>
      <c r="L12" s="21"/>
      <c r="M12" s="114"/>
    </row>
    <row r="13" spans="2:13" ht="15.3" x14ac:dyDescent="0.5">
      <c r="B13" s="517" t="s">
        <v>303</v>
      </c>
      <c r="C13" s="116"/>
      <c r="D13" s="117" t="s">
        <v>347</v>
      </c>
      <c r="E13" s="117" t="s">
        <v>347</v>
      </c>
      <c r="F13" s="21"/>
      <c r="G13" s="120">
        <v>0.05</v>
      </c>
      <c r="H13" s="120">
        <v>1.9E-2</v>
      </c>
      <c r="I13" s="21"/>
      <c r="J13" s="120">
        <v>0.05</v>
      </c>
      <c r="K13" s="117" t="s">
        <v>469</v>
      </c>
      <c r="L13" s="21"/>
      <c r="M13" s="114"/>
    </row>
    <row r="14" spans="2:13" ht="15.3" x14ac:dyDescent="0.5">
      <c r="B14" s="517" t="s">
        <v>96</v>
      </c>
      <c r="C14" s="116"/>
      <c r="D14" s="120">
        <v>7.0000000000000007E-2</v>
      </c>
      <c r="E14" s="120">
        <v>4.2999999999999997E-2</v>
      </c>
      <c r="F14" s="21"/>
      <c r="G14" s="120">
        <v>0.01</v>
      </c>
      <c r="H14" s="117">
        <v>0.4</v>
      </c>
      <c r="I14" s="21"/>
      <c r="J14" s="120">
        <v>0.08</v>
      </c>
      <c r="K14" s="120">
        <v>4.7E-2</v>
      </c>
      <c r="L14" s="21"/>
      <c r="M14" s="114"/>
    </row>
    <row r="15" spans="2:13" ht="42" x14ac:dyDescent="0.5">
      <c r="B15" s="517" t="s">
        <v>299</v>
      </c>
      <c r="C15" s="123" t="s">
        <v>455</v>
      </c>
      <c r="D15" s="117" t="s">
        <v>347</v>
      </c>
      <c r="E15" s="117" t="s">
        <v>347</v>
      </c>
      <c r="F15" s="21"/>
      <c r="G15" s="120">
        <v>0.02</v>
      </c>
      <c r="H15" s="120">
        <v>8.9999999999999993E-3</v>
      </c>
      <c r="I15" s="21"/>
      <c r="J15" s="117" t="s">
        <v>57</v>
      </c>
      <c r="K15" s="117" t="s">
        <v>57</v>
      </c>
      <c r="L15" s="21"/>
      <c r="M15" s="114"/>
    </row>
    <row r="16" spans="2:13" ht="42" x14ac:dyDescent="0.5">
      <c r="B16" s="517" t="s">
        <v>299</v>
      </c>
      <c r="C16" s="123" t="s">
        <v>470</v>
      </c>
      <c r="D16" s="117" t="s">
        <v>347</v>
      </c>
      <c r="E16" s="117" t="s">
        <v>347</v>
      </c>
      <c r="F16" s="21"/>
      <c r="G16" s="120">
        <v>0.02</v>
      </c>
      <c r="H16" s="120">
        <v>0</v>
      </c>
      <c r="I16" s="21"/>
      <c r="J16" s="117" t="s">
        <v>57</v>
      </c>
      <c r="K16" s="117" t="s">
        <v>57</v>
      </c>
      <c r="L16" s="21"/>
      <c r="M16" s="114"/>
    </row>
    <row r="17" spans="2:13" ht="21" x14ac:dyDescent="0.5">
      <c r="B17" s="517" t="s">
        <v>299</v>
      </c>
      <c r="C17" s="123" t="s">
        <v>457</v>
      </c>
      <c r="D17" s="117" t="s">
        <v>347</v>
      </c>
      <c r="E17" s="117" t="s">
        <v>347</v>
      </c>
      <c r="F17" s="21"/>
      <c r="G17" s="120">
        <v>0.02</v>
      </c>
      <c r="H17" s="120">
        <v>1.6E-2</v>
      </c>
      <c r="I17" s="21"/>
      <c r="J17" s="117" t="s">
        <v>57</v>
      </c>
      <c r="K17" s="117" t="s">
        <v>57</v>
      </c>
      <c r="L17" s="21"/>
      <c r="M17" s="114"/>
    </row>
    <row r="18" spans="2:13" ht="21" x14ac:dyDescent="0.5">
      <c r="B18" s="517" t="s">
        <v>299</v>
      </c>
      <c r="C18" s="123" t="s">
        <v>458</v>
      </c>
      <c r="D18" s="117" t="s">
        <v>471</v>
      </c>
      <c r="E18" s="120">
        <v>0.14000000000000001</v>
      </c>
      <c r="F18" s="21"/>
      <c r="G18" s="120">
        <v>0.02</v>
      </c>
      <c r="H18" s="120">
        <v>0.02</v>
      </c>
      <c r="I18" s="21"/>
      <c r="J18" s="117" t="s">
        <v>57</v>
      </c>
      <c r="K18" s="117" t="s">
        <v>57</v>
      </c>
      <c r="L18" s="21"/>
      <c r="M18" s="114"/>
    </row>
    <row r="19" spans="2:13" ht="31.5" x14ac:dyDescent="0.5">
      <c r="B19" s="517" t="s">
        <v>354</v>
      </c>
      <c r="C19" s="123" t="s">
        <v>460</v>
      </c>
      <c r="D19" s="117" t="s">
        <v>347</v>
      </c>
      <c r="E19" s="117" t="s">
        <v>347</v>
      </c>
      <c r="F19" s="21"/>
      <c r="G19" s="120">
        <v>0.02</v>
      </c>
      <c r="H19" s="120">
        <v>8.9999999999999993E-3</v>
      </c>
      <c r="I19" s="21"/>
      <c r="J19" s="117" t="s">
        <v>57</v>
      </c>
      <c r="K19" s="117" t="s">
        <v>57</v>
      </c>
      <c r="L19" s="21"/>
      <c r="M19" s="114"/>
    </row>
    <row r="20" spans="2:13" ht="15.3" x14ac:dyDescent="0.5">
      <c r="B20" s="517" t="s">
        <v>354</v>
      </c>
      <c r="C20" s="123" t="s">
        <v>461</v>
      </c>
      <c r="D20" s="117" t="s">
        <v>347</v>
      </c>
      <c r="E20" s="117" t="s">
        <v>347</v>
      </c>
      <c r="F20" s="21"/>
      <c r="G20" s="120">
        <v>0.02</v>
      </c>
      <c r="H20" s="120">
        <v>1.6E-2</v>
      </c>
      <c r="I20" s="21"/>
      <c r="J20" s="117" t="s">
        <v>57</v>
      </c>
      <c r="K20" s="117" t="s">
        <v>57</v>
      </c>
      <c r="L20" s="21"/>
      <c r="M20" s="114"/>
    </row>
    <row r="21" spans="2:13" ht="52.5" x14ac:dyDescent="0.5">
      <c r="B21" s="517" t="s">
        <v>300</v>
      </c>
      <c r="C21" s="123" t="s">
        <v>462</v>
      </c>
      <c r="D21" s="117" t="s">
        <v>347</v>
      </c>
      <c r="E21" s="117" t="s">
        <v>347</v>
      </c>
      <c r="F21" s="21"/>
      <c r="G21" s="120">
        <v>0.02</v>
      </c>
      <c r="H21" s="120">
        <v>8.9999999999999993E-3</v>
      </c>
      <c r="I21" s="21"/>
      <c r="J21" s="117" t="s">
        <v>57</v>
      </c>
      <c r="K21" s="117" t="s">
        <v>57</v>
      </c>
      <c r="L21" s="21"/>
      <c r="M21" s="114"/>
    </row>
    <row r="22" spans="2:13" ht="42" x14ac:dyDescent="0.5">
      <c r="B22" s="517" t="s">
        <v>300</v>
      </c>
      <c r="C22" s="123" t="s">
        <v>463</v>
      </c>
      <c r="D22" s="117" t="s">
        <v>347</v>
      </c>
      <c r="E22" s="117" t="s">
        <v>347</v>
      </c>
      <c r="F22" s="21"/>
      <c r="G22" s="120">
        <v>0.02</v>
      </c>
      <c r="H22" s="120">
        <v>1.6E-2</v>
      </c>
      <c r="I22" s="21"/>
      <c r="J22" s="117" t="s">
        <v>57</v>
      </c>
      <c r="K22" s="117" t="s">
        <v>57</v>
      </c>
      <c r="L22" s="21"/>
      <c r="M22" s="114"/>
    </row>
    <row r="23" spans="2:13" ht="42" x14ac:dyDescent="0.5">
      <c r="B23" s="517" t="s">
        <v>300</v>
      </c>
      <c r="C23" s="123" t="s">
        <v>464</v>
      </c>
      <c r="D23" s="117" t="s">
        <v>347</v>
      </c>
      <c r="E23" s="117" t="s">
        <v>347</v>
      </c>
      <c r="F23" s="21"/>
      <c r="G23" s="120">
        <v>0.02</v>
      </c>
      <c r="H23" s="120">
        <v>6.0000000000000001E-3</v>
      </c>
      <c r="I23" s="21"/>
      <c r="J23" s="117" t="s">
        <v>57</v>
      </c>
      <c r="K23" s="117" t="s">
        <v>57</v>
      </c>
      <c r="L23" s="21"/>
      <c r="M23" s="114"/>
    </row>
    <row r="24" spans="2:13" ht="52.5" x14ac:dyDescent="0.5">
      <c r="B24" s="517" t="s">
        <v>301</v>
      </c>
      <c r="C24" s="123" t="s">
        <v>462</v>
      </c>
      <c r="D24" s="117" t="s">
        <v>347</v>
      </c>
      <c r="E24" s="117" t="s">
        <v>347</v>
      </c>
      <c r="F24" s="21"/>
      <c r="G24" s="120">
        <v>0.02</v>
      </c>
      <c r="H24" s="120">
        <v>6.0000000000000001E-3</v>
      </c>
      <c r="I24" s="21"/>
      <c r="J24" s="117" t="s">
        <v>57</v>
      </c>
      <c r="K24" s="117" t="s">
        <v>57</v>
      </c>
      <c r="L24" s="21"/>
      <c r="M24" s="114"/>
    </row>
    <row r="25" spans="2:13" ht="42" x14ac:dyDescent="0.5">
      <c r="B25" s="517" t="s">
        <v>301</v>
      </c>
      <c r="C25" s="123" t="s">
        <v>463</v>
      </c>
      <c r="D25" s="117" t="s">
        <v>347</v>
      </c>
      <c r="E25" s="117" t="s">
        <v>347</v>
      </c>
      <c r="F25" s="21"/>
      <c r="G25" s="120">
        <v>0.02</v>
      </c>
      <c r="H25" s="120">
        <v>0</v>
      </c>
      <c r="I25" s="21"/>
      <c r="J25" s="117" t="s">
        <v>57</v>
      </c>
      <c r="K25" s="117" t="s">
        <v>57</v>
      </c>
      <c r="L25" s="21"/>
      <c r="M25" s="114"/>
    </row>
    <row r="26" spans="2:13" ht="42" x14ac:dyDescent="0.5">
      <c r="B26" s="517" t="s">
        <v>301</v>
      </c>
      <c r="C26" s="123" t="s">
        <v>464</v>
      </c>
      <c r="D26" s="117" t="s">
        <v>347</v>
      </c>
      <c r="E26" s="117" t="s">
        <v>347</v>
      </c>
      <c r="F26" s="21"/>
      <c r="G26" s="120">
        <v>0.02</v>
      </c>
      <c r="H26" s="120">
        <v>6.0000000000000001E-3</v>
      </c>
      <c r="I26" s="21"/>
      <c r="J26" s="117" t="s">
        <v>57</v>
      </c>
      <c r="K26" s="117" t="s">
        <v>57</v>
      </c>
      <c r="L26" s="21"/>
      <c r="M26" s="114"/>
    </row>
    <row r="27" spans="2:13" ht="42.3" thickBot="1" x14ac:dyDescent="0.55000000000000004">
      <c r="B27" s="504" t="s">
        <v>362</v>
      </c>
      <c r="C27" s="124" t="s">
        <v>464</v>
      </c>
      <c r="D27" s="118" t="s">
        <v>347</v>
      </c>
      <c r="E27" s="118" t="s">
        <v>347</v>
      </c>
      <c r="F27" s="22"/>
      <c r="G27" s="125">
        <v>0.02</v>
      </c>
      <c r="H27" s="125">
        <v>6.0000000000000001E-3</v>
      </c>
      <c r="I27" s="22"/>
      <c r="J27" s="118" t="s">
        <v>57</v>
      </c>
      <c r="K27" s="118" t="s">
        <v>57</v>
      </c>
      <c r="L27" s="22"/>
      <c r="M27" s="114"/>
    </row>
    <row r="28" spans="2:13" x14ac:dyDescent="0.5">
      <c r="B28" s="787" t="s">
        <v>472</v>
      </c>
      <c r="C28" s="787"/>
      <c r="D28" s="787"/>
      <c r="E28" s="787"/>
      <c r="F28" s="787"/>
      <c r="G28" s="787"/>
      <c r="H28" s="787"/>
      <c r="I28" s="787"/>
      <c r="J28" s="787"/>
      <c r="K28" s="787"/>
      <c r="L28" s="787"/>
      <c r="M28" s="787"/>
    </row>
    <row r="29" spans="2:13" ht="16.5" customHeight="1" x14ac:dyDescent="0.5">
      <c r="B29" s="787" t="s">
        <v>473</v>
      </c>
      <c r="C29" s="787"/>
      <c r="D29" s="787"/>
      <c r="E29" s="787"/>
      <c r="F29" s="787"/>
      <c r="G29" s="787"/>
      <c r="H29" s="787"/>
      <c r="I29" s="787"/>
      <c r="J29" s="787"/>
      <c r="K29" s="787"/>
      <c r="L29" s="787"/>
      <c r="M29" s="787"/>
    </row>
    <row r="30" spans="2:13" x14ac:dyDescent="0.5">
      <c r="B30" s="787" t="s">
        <v>474</v>
      </c>
      <c r="C30" s="787"/>
      <c r="D30" s="787"/>
      <c r="E30" s="787"/>
      <c r="F30" s="787"/>
      <c r="G30" s="787"/>
      <c r="H30" s="787"/>
      <c r="I30" s="787"/>
      <c r="J30" s="787"/>
      <c r="K30" s="787"/>
      <c r="L30" s="787"/>
      <c r="M30" s="787"/>
    </row>
    <row r="31" spans="2:13" x14ac:dyDescent="0.5">
      <c r="B31" s="787" t="s">
        <v>475</v>
      </c>
      <c r="C31" s="787"/>
      <c r="D31" s="787"/>
      <c r="E31" s="787"/>
      <c r="F31" s="787"/>
      <c r="G31" s="787"/>
      <c r="H31" s="787"/>
      <c r="I31" s="787"/>
      <c r="J31" s="787"/>
      <c r="K31" s="787"/>
      <c r="L31" s="787"/>
      <c r="M31" s="787"/>
    </row>
    <row r="32" spans="2:13" x14ac:dyDescent="0.5">
      <c r="B32" s="787" t="s">
        <v>466</v>
      </c>
      <c r="C32" s="787"/>
      <c r="D32" s="787"/>
      <c r="E32" s="787"/>
      <c r="F32" s="787"/>
      <c r="G32" s="787"/>
      <c r="H32" s="787"/>
      <c r="I32" s="787"/>
      <c r="J32" s="787"/>
      <c r="K32" s="787"/>
      <c r="L32" s="787"/>
      <c r="M32" s="787"/>
    </row>
  </sheetData>
  <mergeCells count="9">
    <mergeCell ref="B30:M30"/>
    <mergeCell ref="B31:M31"/>
    <mergeCell ref="B32:M32"/>
    <mergeCell ref="B2:L2"/>
    <mergeCell ref="D3:E3"/>
    <mergeCell ref="G3:H3"/>
    <mergeCell ref="J3:K3"/>
    <mergeCell ref="B28:M28"/>
    <mergeCell ref="B29:M29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B2:L35"/>
  <sheetViews>
    <sheetView workbookViewId="0">
      <selection activeCell="G40" sqref="G40"/>
    </sheetView>
  </sheetViews>
  <sheetFormatPr defaultRowHeight="12.9" x14ac:dyDescent="0.5"/>
  <cols>
    <col min="2" max="2" width="30.64453125" customWidth="1"/>
    <col min="3" max="3" width="29.3515625" customWidth="1"/>
    <col min="4" max="4" width="8.3515625" customWidth="1"/>
    <col min="5" max="5" width="7.41015625" customWidth="1"/>
    <col min="6" max="6" width="2.52734375" customWidth="1"/>
    <col min="7" max="7" width="10.41015625" customWidth="1"/>
    <col min="9" max="9" width="2.52734375" customWidth="1"/>
    <col min="12" max="12" width="2.41015625" customWidth="1"/>
  </cols>
  <sheetData>
    <row r="2" spans="2:12" ht="13.2" thickBot="1" x14ac:dyDescent="0.55000000000000004"/>
    <row r="3" spans="2:12" ht="15.3" thickBot="1" x14ac:dyDescent="0.55000000000000004">
      <c r="B3" s="784" t="s">
        <v>336</v>
      </c>
      <c r="C3" s="784"/>
      <c r="D3" s="784"/>
      <c r="E3" s="784"/>
      <c r="F3" s="784"/>
      <c r="G3" s="784"/>
      <c r="H3" s="784"/>
      <c r="I3" s="784"/>
      <c r="J3" s="784"/>
      <c r="K3" s="784"/>
      <c r="L3" s="784"/>
    </row>
    <row r="4" spans="2:12" ht="13.5" thickTop="1" thickBot="1" x14ac:dyDescent="0.55000000000000004">
      <c r="B4" s="20">
        <v>2012</v>
      </c>
      <c r="C4" s="26"/>
      <c r="D4" s="785" t="s">
        <v>337</v>
      </c>
      <c r="E4" s="786"/>
      <c r="F4" s="24"/>
      <c r="G4" s="786" t="s">
        <v>449</v>
      </c>
      <c r="H4" s="786"/>
      <c r="I4" s="24"/>
      <c r="J4" s="786" t="s">
        <v>339</v>
      </c>
      <c r="K4" s="786"/>
      <c r="L4" s="24"/>
    </row>
    <row r="5" spans="2:12" ht="13.2" thickBot="1" x14ac:dyDescent="0.55000000000000004">
      <c r="B5" s="22" t="s">
        <v>340</v>
      </c>
      <c r="C5" s="29"/>
      <c r="D5" s="27" t="s">
        <v>341</v>
      </c>
      <c r="E5" s="27" t="s">
        <v>259</v>
      </c>
      <c r="F5" s="24"/>
      <c r="G5" s="27" t="s">
        <v>341</v>
      </c>
      <c r="H5" s="27" t="s">
        <v>259</v>
      </c>
      <c r="I5" s="24"/>
      <c r="J5" s="30" t="s">
        <v>341</v>
      </c>
      <c r="K5" s="30" t="s">
        <v>342</v>
      </c>
      <c r="L5" s="24"/>
    </row>
    <row r="6" spans="2:12" ht="14.7" x14ac:dyDescent="0.5">
      <c r="B6" s="21" t="s">
        <v>343</v>
      </c>
      <c r="C6" s="26"/>
      <c r="D6" s="34" t="s">
        <v>476</v>
      </c>
      <c r="E6" s="34">
        <v>9.2999999999999999E-2</v>
      </c>
      <c r="F6" s="24"/>
      <c r="G6" s="34">
        <v>1.9E-2</v>
      </c>
      <c r="H6" s="34">
        <v>1.2999999999999999E-2</v>
      </c>
      <c r="I6" s="24"/>
      <c r="J6" s="34">
        <v>0.11</v>
      </c>
      <c r="K6" s="34">
        <f>E6+H6</f>
        <v>0.106</v>
      </c>
      <c r="L6" s="24"/>
    </row>
    <row r="7" spans="2:12" ht="14.7" x14ac:dyDescent="0.5">
      <c r="B7" s="21" t="s">
        <v>344</v>
      </c>
      <c r="C7" s="26"/>
      <c r="D7" s="34" t="s">
        <v>476</v>
      </c>
      <c r="E7" s="34">
        <v>9.2999999999999999E-2</v>
      </c>
      <c r="F7" s="24"/>
      <c r="G7" s="34">
        <v>1.9E-2</v>
      </c>
      <c r="H7" s="34">
        <v>1.2E-2</v>
      </c>
      <c r="I7" s="24"/>
      <c r="J7" s="34">
        <v>0.11</v>
      </c>
      <c r="K7" s="34">
        <f>E7+H7</f>
        <v>0.105</v>
      </c>
      <c r="L7" s="24"/>
    </row>
    <row r="8" spans="2:12" x14ac:dyDescent="0.5">
      <c r="B8" s="21" t="s">
        <v>451</v>
      </c>
      <c r="C8" s="26" t="s">
        <v>346</v>
      </c>
      <c r="D8" s="35" t="s">
        <v>347</v>
      </c>
      <c r="E8" s="35" t="s">
        <v>347</v>
      </c>
      <c r="F8" s="25"/>
      <c r="G8" s="35">
        <v>0.15</v>
      </c>
      <c r="H8" s="35"/>
      <c r="I8" s="25"/>
      <c r="J8" s="35"/>
      <c r="K8" s="35"/>
      <c r="L8" s="25"/>
    </row>
    <row r="9" spans="2:12" x14ac:dyDescent="0.5">
      <c r="B9" s="21" t="s">
        <v>298</v>
      </c>
      <c r="C9" s="26" t="s">
        <v>346</v>
      </c>
      <c r="D9" s="35" t="s">
        <v>347</v>
      </c>
      <c r="E9" s="35" t="s">
        <v>347</v>
      </c>
      <c r="F9" s="25"/>
      <c r="G9" s="37" t="s">
        <v>348</v>
      </c>
      <c r="H9" s="35"/>
      <c r="I9" s="25"/>
      <c r="J9" s="35"/>
      <c r="K9" s="35"/>
      <c r="L9" s="25"/>
    </row>
    <row r="10" spans="2:12" ht="14.7" x14ac:dyDescent="0.5">
      <c r="B10" s="21"/>
      <c r="C10" s="26" t="s">
        <v>349</v>
      </c>
      <c r="D10" s="35" t="s">
        <v>347</v>
      </c>
      <c r="E10" s="35" t="s">
        <v>347</v>
      </c>
      <c r="F10" s="25"/>
      <c r="G10" s="35" t="s">
        <v>477</v>
      </c>
      <c r="H10" s="35">
        <v>0.44500000000000001</v>
      </c>
      <c r="I10" s="25"/>
      <c r="J10" s="35"/>
      <c r="K10" s="35"/>
      <c r="L10" s="25"/>
    </row>
    <row r="11" spans="2:12" ht="14.4" x14ac:dyDescent="0.5">
      <c r="B11" s="21"/>
      <c r="C11" s="26" t="s">
        <v>453</v>
      </c>
      <c r="D11" s="35" t="s">
        <v>347</v>
      </c>
      <c r="E11" s="35" t="s">
        <v>347</v>
      </c>
      <c r="F11" s="25"/>
      <c r="G11" s="37" t="s">
        <v>454</v>
      </c>
      <c r="H11" s="35"/>
      <c r="I11" s="25"/>
      <c r="J11" s="35"/>
      <c r="K11" s="35"/>
      <c r="L11" s="25"/>
    </row>
    <row r="12" spans="2:12" x14ac:dyDescent="0.5">
      <c r="B12" s="21" t="s">
        <v>353</v>
      </c>
      <c r="C12" s="26"/>
      <c r="D12" s="35">
        <v>0.3</v>
      </c>
      <c r="E12" s="35">
        <v>0.20499999999999999</v>
      </c>
      <c r="F12" s="25"/>
      <c r="G12" s="35">
        <v>0.15</v>
      </c>
      <c r="H12" s="35">
        <v>0.14099999999999999</v>
      </c>
      <c r="I12" s="25"/>
      <c r="J12" s="35">
        <v>0.45</v>
      </c>
      <c r="K12" s="35">
        <f>E12+H12</f>
        <v>0.34599999999999997</v>
      </c>
      <c r="L12" s="25"/>
    </row>
    <row r="13" spans="2:12" x14ac:dyDescent="0.5">
      <c r="B13" s="21" t="s">
        <v>302</v>
      </c>
      <c r="C13" s="26"/>
      <c r="D13" s="35" t="s">
        <v>347</v>
      </c>
      <c r="E13" s="35" t="s">
        <v>347</v>
      </c>
      <c r="F13" s="25"/>
      <c r="G13" s="35">
        <v>0.15</v>
      </c>
      <c r="H13" s="35">
        <v>0.13500000000000001</v>
      </c>
      <c r="I13" s="25"/>
      <c r="J13" s="35"/>
      <c r="K13" s="35"/>
      <c r="L13" s="25"/>
    </row>
    <row r="14" spans="2:12" x14ac:dyDescent="0.5">
      <c r="B14" s="21" t="s">
        <v>303</v>
      </c>
      <c r="C14" s="26"/>
      <c r="D14" s="35" t="s">
        <v>347</v>
      </c>
      <c r="E14" s="35" t="s">
        <v>347</v>
      </c>
      <c r="F14" s="25"/>
      <c r="G14" s="35">
        <v>0.05</v>
      </c>
      <c r="H14" s="35">
        <v>1E-3</v>
      </c>
      <c r="I14" s="25"/>
      <c r="J14" s="35">
        <v>0.05</v>
      </c>
      <c r="K14" s="35"/>
      <c r="L14" s="25"/>
    </row>
    <row r="15" spans="2:12" x14ac:dyDescent="0.5">
      <c r="B15" s="32" t="s">
        <v>96</v>
      </c>
      <c r="C15" s="26"/>
      <c r="D15" s="35">
        <v>7.0000000000000007E-2</v>
      </c>
      <c r="E15" s="36">
        <v>8.6999999999999994E-2</v>
      </c>
      <c r="F15" s="33"/>
      <c r="G15" s="36">
        <v>0.01</v>
      </c>
      <c r="H15" s="36">
        <v>0.01</v>
      </c>
      <c r="I15" s="33"/>
      <c r="J15" s="36">
        <v>0.08</v>
      </c>
      <c r="K15" s="35">
        <f>E15+H15</f>
        <v>9.6999999999999989E-2</v>
      </c>
      <c r="L15" s="25"/>
    </row>
    <row r="16" spans="2:12" ht="25.2" x14ac:dyDescent="0.5">
      <c r="B16" s="32" t="s">
        <v>299</v>
      </c>
      <c r="C16" s="38" t="s">
        <v>455</v>
      </c>
      <c r="D16" s="35" t="s">
        <v>347</v>
      </c>
      <c r="E16" s="35" t="s">
        <v>347</v>
      </c>
      <c r="F16" s="33"/>
      <c r="G16" s="35">
        <v>0.02</v>
      </c>
      <c r="H16" s="36">
        <v>1.9E-2</v>
      </c>
      <c r="I16" s="33"/>
      <c r="J16" s="36"/>
      <c r="K16" s="35"/>
      <c r="L16" s="25"/>
    </row>
    <row r="17" spans="2:12" ht="27" customHeight="1" x14ac:dyDescent="0.5">
      <c r="B17" s="32" t="s">
        <v>299</v>
      </c>
      <c r="C17" s="38" t="s">
        <v>456</v>
      </c>
      <c r="D17" s="35" t="s">
        <v>347</v>
      </c>
      <c r="E17" s="35" t="s">
        <v>347</v>
      </c>
      <c r="F17" s="25"/>
      <c r="G17" s="35">
        <v>0.02</v>
      </c>
      <c r="H17" s="35">
        <v>2E-3</v>
      </c>
      <c r="I17" s="25"/>
      <c r="J17" s="35"/>
      <c r="K17" s="35"/>
      <c r="L17" s="25"/>
    </row>
    <row r="18" spans="2:12" x14ac:dyDescent="0.5">
      <c r="B18" s="32" t="s">
        <v>299</v>
      </c>
      <c r="C18" s="38" t="s">
        <v>457</v>
      </c>
      <c r="D18" s="35" t="s">
        <v>347</v>
      </c>
      <c r="E18" s="35" t="s">
        <v>347</v>
      </c>
      <c r="F18" s="25"/>
      <c r="G18" s="35">
        <v>0.02</v>
      </c>
      <c r="H18" s="35">
        <v>1.2E-2</v>
      </c>
      <c r="I18" s="25"/>
      <c r="J18" s="35"/>
      <c r="K18" s="35"/>
      <c r="L18" s="25"/>
    </row>
    <row r="19" spans="2:12" ht="14.7" x14ac:dyDescent="0.5">
      <c r="B19" s="32" t="s">
        <v>299</v>
      </c>
      <c r="C19" s="38" t="s">
        <v>458</v>
      </c>
      <c r="D19" s="35" t="s">
        <v>478</v>
      </c>
      <c r="E19" s="35">
        <v>0.13500000000000001</v>
      </c>
      <c r="F19" s="25"/>
      <c r="G19" s="35">
        <v>0.02</v>
      </c>
      <c r="H19" s="35">
        <v>1.7999999999999999E-2</v>
      </c>
      <c r="I19" s="25"/>
      <c r="J19" s="35"/>
      <c r="K19" s="35"/>
      <c r="L19" s="25"/>
    </row>
    <row r="20" spans="2:12" x14ac:dyDescent="0.5">
      <c r="B20" s="21" t="s">
        <v>354</v>
      </c>
      <c r="C20" s="38" t="s">
        <v>460</v>
      </c>
      <c r="D20" s="35" t="s">
        <v>347</v>
      </c>
      <c r="E20" s="35" t="s">
        <v>347</v>
      </c>
      <c r="F20" s="25"/>
      <c r="G20" s="35">
        <v>0.02</v>
      </c>
      <c r="H20" s="35">
        <v>1.9E-2</v>
      </c>
      <c r="I20" s="25"/>
      <c r="J20" s="35"/>
      <c r="K20" s="35"/>
      <c r="L20" s="25"/>
    </row>
    <row r="21" spans="2:12" x14ac:dyDescent="0.5">
      <c r="B21" s="21" t="s">
        <v>354</v>
      </c>
      <c r="C21" s="38" t="s">
        <v>461</v>
      </c>
      <c r="D21" s="35" t="s">
        <v>347</v>
      </c>
      <c r="E21" s="35" t="s">
        <v>347</v>
      </c>
      <c r="F21" s="25"/>
      <c r="G21" s="35">
        <v>0.02</v>
      </c>
      <c r="H21" s="35">
        <v>1.2E-2</v>
      </c>
      <c r="I21" s="25"/>
      <c r="J21" s="35"/>
      <c r="K21" s="35"/>
      <c r="L21" s="25"/>
    </row>
    <row r="22" spans="2:12" ht="25.2" x14ac:dyDescent="0.5">
      <c r="B22" s="21" t="s">
        <v>300</v>
      </c>
      <c r="C22" s="38" t="s">
        <v>462</v>
      </c>
      <c r="D22" s="35" t="s">
        <v>347</v>
      </c>
      <c r="E22" s="35" t="s">
        <v>347</v>
      </c>
      <c r="F22" s="25"/>
      <c r="G22" s="35">
        <v>0.02</v>
      </c>
      <c r="H22" s="35">
        <v>1.9E-2</v>
      </c>
      <c r="I22" s="25"/>
      <c r="J22" s="35"/>
      <c r="K22" s="35"/>
      <c r="L22" s="25"/>
    </row>
    <row r="23" spans="2:12" x14ac:dyDescent="0.5">
      <c r="B23" s="21" t="s">
        <v>300</v>
      </c>
      <c r="C23" s="38" t="s">
        <v>463</v>
      </c>
      <c r="D23" s="35" t="s">
        <v>347</v>
      </c>
      <c r="E23" s="35" t="s">
        <v>347</v>
      </c>
      <c r="F23" s="25"/>
      <c r="G23" s="35">
        <v>0.02</v>
      </c>
      <c r="H23" s="35">
        <v>1.2E-2</v>
      </c>
      <c r="I23" s="25"/>
      <c r="J23" s="35"/>
      <c r="K23" s="35"/>
      <c r="L23" s="25"/>
    </row>
    <row r="24" spans="2:12" x14ac:dyDescent="0.5">
      <c r="B24" s="21" t="s">
        <v>300</v>
      </c>
      <c r="C24" s="38" t="s">
        <v>464</v>
      </c>
      <c r="D24" s="35" t="s">
        <v>347</v>
      </c>
      <c r="E24" s="35" t="s">
        <v>347</v>
      </c>
      <c r="F24" s="25"/>
      <c r="G24" s="35">
        <v>0.02</v>
      </c>
      <c r="H24" s="35">
        <v>3.0000000000000001E-3</v>
      </c>
      <c r="I24" s="25"/>
      <c r="J24" s="35"/>
      <c r="K24" s="35"/>
      <c r="L24" s="25"/>
    </row>
    <row r="25" spans="2:12" ht="25.2" x14ac:dyDescent="0.5">
      <c r="B25" s="21" t="s">
        <v>301</v>
      </c>
      <c r="C25" s="38" t="s">
        <v>462</v>
      </c>
      <c r="D25" s="35" t="s">
        <v>347</v>
      </c>
      <c r="E25" s="35" t="s">
        <v>347</v>
      </c>
      <c r="F25" s="25"/>
      <c r="G25" s="35">
        <v>0.02</v>
      </c>
      <c r="H25" s="35">
        <v>6.0000000000000001E-3</v>
      </c>
      <c r="I25" s="25"/>
      <c r="J25" s="35"/>
      <c r="K25" s="35"/>
      <c r="L25" s="25"/>
    </row>
    <row r="26" spans="2:12" x14ac:dyDescent="0.5">
      <c r="B26" s="21" t="s">
        <v>301</v>
      </c>
      <c r="C26" s="38" t="s">
        <v>463</v>
      </c>
      <c r="D26" s="35" t="s">
        <v>347</v>
      </c>
      <c r="E26" s="35" t="s">
        <v>347</v>
      </c>
      <c r="F26" s="25"/>
      <c r="G26" s="35">
        <v>0.02</v>
      </c>
      <c r="H26" s="35">
        <v>0</v>
      </c>
      <c r="I26" s="25"/>
      <c r="J26" s="35"/>
      <c r="K26" s="35"/>
      <c r="L26" s="25"/>
    </row>
    <row r="27" spans="2:12" x14ac:dyDescent="0.5">
      <c r="B27" s="21" t="s">
        <v>301</v>
      </c>
      <c r="C27" s="38" t="s">
        <v>464</v>
      </c>
      <c r="D27" s="35" t="s">
        <v>347</v>
      </c>
      <c r="E27" s="35" t="s">
        <v>347</v>
      </c>
      <c r="F27" s="25"/>
      <c r="G27" s="35">
        <v>0.02</v>
      </c>
      <c r="H27" s="35">
        <v>5.0000000000000001E-3</v>
      </c>
      <c r="I27" s="25"/>
      <c r="J27" s="35"/>
      <c r="K27" s="35"/>
      <c r="L27" s="25"/>
    </row>
    <row r="28" spans="2:12" x14ac:dyDescent="0.5">
      <c r="B28" s="21" t="s">
        <v>362</v>
      </c>
      <c r="C28" s="38" t="s">
        <v>464</v>
      </c>
      <c r="D28" s="35" t="s">
        <v>347</v>
      </c>
      <c r="E28" s="35" t="s">
        <v>347</v>
      </c>
      <c r="F28" s="25"/>
      <c r="G28" s="35">
        <v>0.02</v>
      </c>
      <c r="H28" s="35">
        <v>5.0000000000000001E-3</v>
      </c>
      <c r="I28" s="25"/>
      <c r="J28" s="35"/>
      <c r="K28" s="35"/>
      <c r="L28" s="25"/>
    </row>
    <row r="29" spans="2:12" x14ac:dyDescent="0.5">
      <c r="B29" s="21"/>
      <c r="C29" s="26"/>
      <c r="K29" s="25"/>
      <c r="L29" s="25"/>
    </row>
    <row r="30" spans="2:12" x14ac:dyDescent="0.5"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</row>
    <row r="31" spans="2:12" x14ac:dyDescent="0.5">
      <c r="B31" s="783" t="s">
        <v>363</v>
      </c>
      <c r="C31" s="783"/>
      <c r="D31" s="783"/>
      <c r="E31" s="783"/>
      <c r="F31" s="783"/>
      <c r="G31" s="783"/>
      <c r="H31" s="783"/>
      <c r="I31" s="783"/>
      <c r="J31" s="783"/>
      <c r="K31" s="783"/>
      <c r="L31" s="783"/>
    </row>
    <row r="32" spans="2:12" x14ac:dyDescent="0.5">
      <c r="B32" s="783" t="s">
        <v>364</v>
      </c>
      <c r="C32" s="783"/>
      <c r="D32" s="783"/>
      <c r="E32" s="783"/>
      <c r="F32" s="783"/>
      <c r="G32" s="783"/>
      <c r="H32" s="783"/>
      <c r="I32" s="783"/>
      <c r="J32" s="783"/>
      <c r="K32" s="783"/>
      <c r="L32" s="783"/>
    </row>
    <row r="33" spans="2:12" x14ac:dyDescent="0.5">
      <c r="B33" s="783" t="s">
        <v>365</v>
      </c>
      <c r="C33" s="783"/>
      <c r="D33" s="783"/>
      <c r="E33" s="783"/>
      <c r="F33" s="783"/>
      <c r="G33" s="783"/>
      <c r="H33" s="783"/>
      <c r="I33" s="783"/>
      <c r="J33" s="783"/>
      <c r="K33" s="783"/>
      <c r="L33" s="783"/>
    </row>
    <row r="34" spans="2:12" x14ac:dyDescent="0.5">
      <c r="B34" s="783" t="s">
        <v>465</v>
      </c>
      <c r="C34" s="783"/>
      <c r="D34" s="783"/>
      <c r="E34" s="783"/>
      <c r="F34" s="783"/>
      <c r="G34" s="783"/>
      <c r="H34" s="783"/>
      <c r="I34" s="783"/>
      <c r="J34" s="783"/>
      <c r="K34" s="783"/>
      <c r="L34" s="783"/>
    </row>
    <row r="35" spans="2:12" ht="24" customHeight="1" x14ac:dyDescent="0.5">
      <c r="B35" s="783" t="s">
        <v>466</v>
      </c>
      <c r="C35" s="783"/>
      <c r="D35" s="783"/>
      <c r="E35" s="783"/>
      <c r="F35" s="783"/>
      <c r="G35" s="783"/>
      <c r="H35" s="783"/>
      <c r="I35" s="783"/>
      <c r="J35" s="783"/>
      <c r="K35" s="783"/>
      <c r="L35" s="783"/>
    </row>
  </sheetData>
  <mergeCells count="9">
    <mergeCell ref="B35:L35"/>
    <mergeCell ref="B31:L31"/>
    <mergeCell ref="B32:L32"/>
    <mergeCell ref="B33:L33"/>
    <mergeCell ref="B3:L3"/>
    <mergeCell ref="D4:E4"/>
    <mergeCell ref="G4:H4"/>
    <mergeCell ref="J4:K4"/>
    <mergeCell ref="B34:L34"/>
  </mergeCells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B2:L35"/>
  <sheetViews>
    <sheetView workbookViewId="0">
      <selection activeCell="J16" sqref="J16"/>
    </sheetView>
  </sheetViews>
  <sheetFormatPr defaultRowHeight="12.9" x14ac:dyDescent="0.5"/>
  <cols>
    <col min="2" max="2" width="30.64453125" customWidth="1"/>
    <col min="3" max="3" width="29.3515625" customWidth="1"/>
    <col min="4" max="4" width="8.3515625" customWidth="1"/>
    <col min="5" max="5" width="7.41015625" customWidth="1"/>
    <col min="6" max="6" width="2.52734375" customWidth="1"/>
    <col min="7" max="7" width="10.41015625" customWidth="1"/>
    <col min="9" max="9" width="2.52734375" customWidth="1"/>
    <col min="12" max="12" width="2.41015625" customWidth="1"/>
  </cols>
  <sheetData>
    <row r="2" spans="2:12" ht="13.2" thickBot="1" x14ac:dyDescent="0.55000000000000004"/>
    <row r="3" spans="2:12" ht="15.3" thickBot="1" x14ac:dyDescent="0.55000000000000004">
      <c r="B3" s="784" t="s">
        <v>336</v>
      </c>
      <c r="C3" s="784"/>
      <c r="D3" s="784"/>
      <c r="E3" s="784"/>
      <c r="F3" s="784"/>
      <c r="G3" s="784"/>
      <c r="H3" s="784"/>
      <c r="I3" s="784"/>
      <c r="J3" s="784"/>
      <c r="K3" s="784"/>
      <c r="L3" s="784"/>
    </row>
    <row r="4" spans="2:12" ht="13.5" thickTop="1" thickBot="1" x14ac:dyDescent="0.55000000000000004">
      <c r="B4" s="20">
        <v>2011</v>
      </c>
      <c r="C4" s="26"/>
      <c r="D4" s="785" t="s">
        <v>337</v>
      </c>
      <c r="E4" s="786"/>
      <c r="F4" s="24"/>
      <c r="G4" s="786" t="s">
        <v>449</v>
      </c>
      <c r="H4" s="786"/>
      <c r="I4" s="24"/>
      <c r="J4" s="786" t="s">
        <v>339</v>
      </c>
      <c r="K4" s="786"/>
      <c r="L4" s="24"/>
    </row>
    <row r="5" spans="2:12" ht="13.2" thickBot="1" x14ac:dyDescent="0.55000000000000004">
      <c r="B5" s="22" t="s">
        <v>340</v>
      </c>
      <c r="C5" s="29"/>
      <c r="D5" s="27" t="s">
        <v>341</v>
      </c>
      <c r="E5" s="27" t="s">
        <v>259</v>
      </c>
      <c r="F5" s="24"/>
      <c r="G5" s="27" t="s">
        <v>341</v>
      </c>
      <c r="H5" s="27" t="s">
        <v>259</v>
      </c>
      <c r="I5" s="24"/>
      <c r="J5" s="30" t="s">
        <v>341</v>
      </c>
      <c r="K5" s="30" t="s">
        <v>342</v>
      </c>
      <c r="L5" s="24"/>
    </row>
    <row r="6" spans="2:12" ht="14.7" x14ac:dyDescent="0.5">
      <c r="B6" s="21" t="s">
        <v>343</v>
      </c>
      <c r="C6" s="26"/>
      <c r="D6" s="34" t="s">
        <v>450</v>
      </c>
      <c r="E6" s="34">
        <f>'T2'!I5</f>
        <v>7.3489149409737636E-2</v>
      </c>
      <c r="F6" s="24"/>
      <c r="G6" s="34">
        <v>0.02</v>
      </c>
      <c r="H6" s="34">
        <v>1.4999999999999999E-2</v>
      </c>
      <c r="I6" s="24"/>
      <c r="J6" s="34">
        <v>0.12</v>
      </c>
      <c r="K6" s="34">
        <f>E6+H6</f>
        <v>8.8489149409737636E-2</v>
      </c>
      <c r="L6" s="24"/>
    </row>
    <row r="7" spans="2:12" ht="14.7" x14ac:dyDescent="0.5">
      <c r="B7" s="21" t="s">
        <v>344</v>
      </c>
      <c r="C7" s="26"/>
      <c r="D7" s="34" t="s">
        <v>450</v>
      </c>
      <c r="E7" s="34">
        <f>E6</f>
        <v>7.3489149409737636E-2</v>
      </c>
      <c r="F7" s="24"/>
      <c r="G7" s="34">
        <v>0.02</v>
      </c>
      <c r="H7" s="34">
        <v>1.4E-2</v>
      </c>
      <c r="I7" s="24"/>
      <c r="J7" s="34">
        <v>0.12</v>
      </c>
      <c r="K7" s="34">
        <f>E7+H7</f>
        <v>8.7489149409737635E-2</v>
      </c>
      <c r="L7" s="24"/>
    </row>
    <row r="8" spans="2:12" x14ac:dyDescent="0.5">
      <c r="B8" s="21" t="s">
        <v>451</v>
      </c>
      <c r="C8" s="26" t="s">
        <v>346</v>
      </c>
      <c r="D8" s="35" t="s">
        <v>347</v>
      </c>
      <c r="E8" s="35" t="s">
        <v>347</v>
      </c>
      <c r="F8" s="25"/>
      <c r="G8" s="35">
        <v>0.15</v>
      </c>
      <c r="H8" s="35"/>
      <c r="I8" s="25"/>
      <c r="J8" s="35"/>
      <c r="K8" s="35"/>
      <c r="L8" s="25"/>
    </row>
    <row r="9" spans="2:12" x14ac:dyDescent="0.5">
      <c r="B9" s="21" t="s">
        <v>298</v>
      </c>
      <c r="C9" s="26" t="s">
        <v>346</v>
      </c>
      <c r="D9" s="35" t="s">
        <v>347</v>
      </c>
      <c r="E9" s="35" t="s">
        <v>347</v>
      </c>
      <c r="F9" s="25"/>
      <c r="G9" s="37" t="s">
        <v>348</v>
      </c>
      <c r="H9" s="35"/>
      <c r="I9" s="25"/>
      <c r="J9" s="35"/>
      <c r="K9" s="35"/>
      <c r="L9" s="25"/>
    </row>
    <row r="10" spans="2:12" ht="14.7" x14ac:dyDescent="0.5">
      <c r="B10" s="21"/>
      <c r="C10" s="26" t="s">
        <v>349</v>
      </c>
      <c r="D10" s="35" t="s">
        <v>347</v>
      </c>
      <c r="E10" s="35" t="s">
        <v>347</v>
      </c>
      <c r="F10" s="25"/>
      <c r="G10" s="35" t="s">
        <v>477</v>
      </c>
      <c r="H10" s="35"/>
      <c r="I10" s="25"/>
      <c r="J10" s="35"/>
      <c r="K10" s="35"/>
      <c r="L10" s="25"/>
    </row>
    <row r="11" spans="2:12" ht="14.4" x14ac:dyDescent="0.5">
      <c r="B11" s="21"/>
      <c r="C11" s="26" t="s">
        <v>453</v>
      </c>
      <c r="D11" s="35" t="s">
        <v>347</v>
      </c>
      <c r="E11" s="35" t="s">
        <v>347</v>
      </c>
      <c r="F11" s="25"/>
      <c r="G11" s="37" t="s">
        <v>454</v>
      </c>
      <c r="H11" s="35"/>
      <c r="I11" s="25"/>
      <c r="J11" s="35"/>
      <c r="K11" s="35"/>
      <c r="L11" s="25"/>
    </row>
    <row r="12" spans="2:12" x14ac:dyDescent="0.5">
      <c r="B12" s="21" t="s">
        <v>353</v>
      </c>
      <c r="C12" s="26"/>
      <c r="D12" s="35">
        <v>0.3</v>
      </c>
      <c r="E12" s="35">
        <v>0.20499999999999999</v>
      </c>
      <c r="F12" s="25"/>
      <c r="G12" s="35">
        <v>0.15</v>
      </c>
      <c r="H12" s="35">
        <v>0.14099999999999999</v>
      </c>
      <c r="I12" s="25"/>
      <c r="J12" s="35">
        <v>0.45</v>
      </c>
      <c r="K12" s="35">
        <f>E12+H12</f>
        <v>0.34599999999999997</v>
      </c>
      <c r="L12" s="25"/>
    </row>
    <row r="13" spans="2:12" x14ac:dyDescent="0.5">
      <c r="B13" s="21" t="s">
        <v>302</v>
      </c>
      <c r="C13" s="26"/>
      <c r="D13" s="35" t="s">
        <v>347</v>
      </c>
      <c r="E13" s="35" t="s">
        <v>347</v>
      </c>
      <c r="F13" s="25"/>
      <c r="G13" s="35"/>
      <c r="H13" s="35"/>
      <c r="I13" s="25"/>
      <c r="J13" s="35"/>
      <c r="K13" s="35"/>
      <c r="L13" s="25"/>
    </row>
    <row r="14" spans="2:12" x14ac:dyDescent="0.5">
      <c r="B14" s="21" t="s">
        <v>303</v>
      </c>
      <c r="C14" s="26"/>
      <c r="D14" s="35" t="s">
        <v>347</v>
      </c>
      <c r="E14" s="35" t="s">
        <v>347</v>
      </c>
      <c r="F14" s="25"/>
      <c r="G14" s="35">
        <v>0.05</v>
      </c>
      <c r="H14" s="35"/>
      <c r="I14" s="25"/>
      <c r="J14" s="35">
        <v>0.05</v>
      </c>
      <c r="K14" s="35"/>
      <c r="L14" s="25"/>
    </row>
    <row r="15" spans="2:12" x14ac:dyDescent="0.5">
      <c r="B15" s="32" t="s">
        <v>96</v>
      </c>
      <c r="C15" s="26"/>
      <c r="D15" s="35">
        <v>7.0000000000000007E-2</v>
      </c>
      <c r="E15" s="36">
        <v>6.9000000000000006E-2</v>
      </c>
      <c r="F15" s="33"/>
      <c r="G15" s="36">
        <v>0.01</v>
      </c>
      <c r="H15" s="36">
        <v>8.9999999999999993E-3</v>
      </c>
      <c r="I15" s="33"/>
      <c r="J15" s="36">
        <v>0.08</v>
      </c>
      <c r="K15" s="35">
        <f>E15+H15</f>
        <v>7.8E-2</v>
      </c>
      <c r="L15" s="25"/>
    </row>
    <row r="16" spans="2:12" ht="25.2" x14ac:dyDescent="0.5">
      <c r="B16" s="32" t="s">
        <v>299</v>
      </c>
      <c r="C16" s="38" t="s">
        <v>455</v>
      </c>
      <c r="D16" s="35" t="s">
        <v>347</v>
      </c>
      <c r="E16" s="35" t="s">
        <v>347</v>
      </c>
      <c r="F16" s="33"/>
      <c r="G16" s="35">
        <v>0.02</v>
      </c>
      <c r="H16" s="36"/>
      <c r="I16" s="33"/>
      <c r="J16" s="36"/>
      <c r="K16" s="35"/>
      <c r="L16" s="25"/>
    </row>
    <row r="17" spans="2:12" ht="27" customHeight="1" x14ac:dyDescent="0.5">
      <c r="B17" s="32" t="s">
        <v>299</v>
      </c>
      <c r="C17" s="38" t="s">
        <v>456</v>
      </c>
      <c r="D17" s="35" t="s">
        <v>347</v>
      </c>
      <c r="E17" s="35" t="s">
        <v>347</v>
      </c>
      <c r="F17" s="25"/>
      <c r="G17" s="35">
        <v>0.02</v>
      </c>
      <c r="H17" s="35"/>
      <c r="I17" s="25"/>
      <c r="J17" s="35"/>
      <c r="K17" s="35"/>
      <c r="L17" s="25"/>
    </row>
    <row r="18" spans="2:12" x14ac:dyDescent="0.5">
      <c r="B18" s="32" t="s">
        <v>299</v>
      </c>
      <c r="C18" s="38" t="s">
        <v>457</v>
      </c>
      <c r="D18" s="35" t="s">
        <v>347</v>
      </c>
      <c r="E18" s="35" t="s">
        <v>347</v>
      </c>
      <c r="F18" s="25"/>
      <c r="G18" s="35">
        <v>0.02</v>
      </c>
      <c r="H18" s="35">
        <v>1.2E-2</v>
      </c>
      <c r="I18" s="25"/>
      <c r="J18" s="35"/>
      <c r="K18" s="35"/>
      <c r="L18" s="25"/>
    </row>
    <row r="19" spans="2:12" ht="14.7" x14ac:dyDescent="0.5">
      <c r="B19" s="32" t="s">
        <v>299</v>
      </c>
      <c r="C19" s="38" t="s">
        <v>458</v>
      </c>
      <c r="D19" s="35" t="s">
        <v>459</v>
      </c>
      <c r="E19" s="35">
        <v>0.21099999999999999</v>
      </c>
      <c r="F19" s="25"/>
      <c r="G19" s="35">
        <v>0.02</v>
      </c>
      <c r="H19" s="35">
        <v>1.9E-2</v>
      </c>
      <c r="I19" s="25"/>
      <c r="J19" s="35"/>
      <c r="K19" s="35"/>
      <c r="L19" s="25"/>
    </row>
    <row r="20" spans="2:12" x14ac:dyDescent="0.5">
      <c r="B20" s="21" t="s">
        <v>354</v>
      </c>
      <c r="C20" s="38" t="s">
        <v>460</v>
      </c>
      <c r="D20" s="35" t="s">
        <v>347</v>
      </c>
      <c r="E20" s="35" t="s">
        <v>347</v>
      </c>
      <c r="F20" s="25"/>
      <c r="G20" s="35">
        <v>0.02</v>
      </c>
      <c r="H20" s="35"/>
      <c r="I20" s="25"/>
      <c r="J20" s="35"/>
      <c r="K20" s="35"/>
      <c r="L20" s="25"/>
    </row>
    <row r="21" spans="2:12" x14ac:dyDescent="0.5">
      <c r="B21" s="21" t="s">
        <v>354</v>
      </c>
      <c r="C21" s="38" t="s">
        <v>461</v>
      </c>
      <c r="D21" s="35" t="s">
        <v>347</v>
      </c>
      <c r="E21" s="35" t="s">
        <v>347</v>
      </c>
      <c r="F21" s="25"/>
      <c r="G21" s="35">
        <v>0.02</v>
      </c>
      <c r="H21" s="35">
        <v>1.2E-2</v>
      </c>
      <c r="I21" s="25"/>
      <c r="J21" s="35"/>
      <c r="K21" s="35"/>
      <c r="L21" s="25"/>
    </row>
    <row r="22" spans="2:12" ht="25.2" x14ac:dyDescent="0.5">
      <c r="B22" s="21" t="s">
        <v>300</v>
      </c>
      <c r="C22" s="38" t="s">
        <v>462</v>
      </c>
      <c r="D22" s="35" t="s">
        <v>347</v>
      </c>
      <c r="E22" s="35" t="s">
        <v>347</v>
      </c>
      <c r="F22" s="25"/>
      <c r="G22" s="35">
        <v>0.02</v>
      </c>
      <c r="H22" s="35"/>
      <c r="I22" s="25"/>
      <c r="J22" s="35"/>
      <c r="K22" s="35"/>
      <c r="L22" s="25"/>
    </row>
    <row r="23" spans="2:12" x14ac:dyDescent="0.5">
      <c r="B23" s="21" t="s">
        <v>300</v>
      </c>
      <c r="C23" s="38" t="s">
        <v>463</v>
      </c>
      <c r="D23" s="35" t="s">
        <v>347</v>
      </c>
      <c r="E23" s="35" t="s">
        <v>347</v>
      </c>
      <c r="F23" s="25"/>
      <c r="G23" s="35">
        <v>0.02</v>
      </c>
      <c r="H23" s="35">
        <v>1.2E-2</v>
      </c>
      <c r="I23" s="25"/>
      <c r="J23" s="35"/>
      <c r="K23" s="35"/>
      <c r="L23" s="25"/>
    </row>
    <row r="24" spans="2:12" x14ac:dyDescent="0.5">
      <c r="B24" s="21" t="s">
        <v>300</v>
      </c>
      <c r="C24" s="38" t="s">
        <v>464</v>
      </c>
      <c r="D24" s="35" t="s">
        <v>347</v>
      </c>
      <c r="E24" s="35" t="s">
        <v>347</v>
      </c>
      <c r="F24" s="25"/>
      <c r="G24" s="35">
        <v>0.02</v>
      </c>
      <c r="H24" s="35"/>
      <c r="I24" s="25"/>
      <c r="J24" s="35"/>
      <c r="K24" s="35"/>
      <c r="L24" s="25"/>
    </row>
    <row r="25" spans="2:12" ht="25.2" x14ac:dyDescent="0.5">
      <c r="B25" s="21" t="s">
        <v>301</v>
      </c>
      <c r="C25" s="38" t="s">
        <v>462</v>
      </c>
      <c r="D25" s="35" t="s">
        <v>347</v>
      </c>
      <c r="E25" s="35" t="s">
        <v>347</v>
      </c>
      <c r="F25" s="25"/>
      <c r="G25" s="35">
        <v>0.02</v>
      </c>
      <c r="H25" s="35"/>
      <c r="I25" s="25"/>
      <c r="J25" s="35"/>
      <c r="K25" s="35"/>
      <c r="L25" s="25"/>
    </row>
    <row r="26" spans="2:12" x14ac:dyDescent="0.5">
      <c r="B26" s="21" t="s">
        <v>301</v>
      </c>
      <c r="C26" s="38" t="s">
        <v>463</v>
      </c>
      <c r="D26" s="35" t="s">
        <v>347</v>
      </c>
      <c r="E26" s="35" t="s">
        <v>347</v>
      </c>
      <c r="F26" s="25"/>
      <c r="G26" s="35">
        <v>0.02</v>
      </c>
      <c r="H26" s="35">
        <v>1.2E-2</v>
      </c>
      <c r="I26" s="25"/>
      <c r="J26" s="35"/>
      <c r="K26" s="35"/>
      <c r="L26" s="25"/>
    </row>
    <row r="27" spans="2:12" x14ac:dyDescent="0.5">
      <c r="B27" s="21" t="s">
        <v>301</v>
      </c>
      <c r="C27" s="38" t="s">
        <v>464</v>
      </c>
      <c r="D27" s="35" t="s">
        <v>347</v>
      </c>
      <c r="E27" s="35" t="s">
        <v>347</v>
      </c>
      <c r="F27" s="25"/>
      <c r="G27" s="35">
        <v>0.02</v>
      </c>
      <c r="H27" s="35"/>
      <c r="I27" s="25"/>
      <c r="J27" s="35"/>
      <c r="K27" s="35"/>
      <c r="L27" s="25"/>
    </row>
    <row r="28" spans="2:12" x14ac:dyDescent="0.5">
      <c r="B28" s="21" t="s">
        <v>362</v>
      </c>
      <c r="C28" s="38" t="s">
        <v>464</v>
      </c>
      <c r="D28" s="35" t="s">
        <v>347</v>
      </c>
      <c r="E28" s="35" t="s">
        <v>347</v>
      </c>
      <c r="F28" s="25"/>
      <c r="G28" s="35">
        <v>0.02</v>
      </c>
      <c r="H28" s="35"/>
      <c r="I28" s="25"/>
      <c r="J28" s="35"/>
      <c r="K28" s="35"/>
      <c r="L28" s="25"/>
    </row>
    <row r="29" spans="2:12" x14ac:dyDescent="0.5">
      <c r="B29" s="21"/>
      <c r="C29" s="26"/>
      <c r="K29" s="25"/>
      <c r="L29" s="25"/>
    </row>
    <row r="30" spans="2:12" x14ac:dyDescent="0.5"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</row>
    <row r="31" spans="2:12" x14ac:dyDescent="0.5">
      <c r="B31" s="783" t="s">
        <v>363</v>
      </c>
      <c r="C31" s="783"/>
      <c r="D31" s="783"/>
      <c r="E31" s="783"/>
      <c r="F31" s="783"/>
      <c r="G31" s="783"/>
      <c r="H31" s="783"/>
      <c r="I31" s="783"/>
      <c r="J31" s="783"/>
      <c r="K31" s="783"/>
      <c r="L31" s="783"/>
    </row>
    <row r="32" spans="2:12" x14ac:dyDescent="0.5">
      <c r="B32" s="783" t="s">
        <v>364</v>
      </c>
      <c r="C32" s="783"/>
      <c r="D32" s="783"/>
      <c r="E32" s="783"/>
      <c r="F32" s="783"/>
      <c r="G32" s="783"/>
      <c r="H32" s="783"/>
      <c r="I32" s="783"/>
      <c r="J32" s="783"/>
      <c r="K32" s="783"/>
      <c r="L32" s="783"/>
    </row>
    <row r="33" spans="2:12" x14ac:dyDescent="0.5">
      <c r="B33" s="783" t="s">
        <v>365</v>
      </c>
      <c r="C33" s="783"/>
      <c r="D33" s="783"/>
      <c r="E33" s="783"/>
      <c r="F33" s="783"/>
      <c r="G33" s="783"/>
      <c r="H33" s="783"/>
      <c r="I33" s="783"/>
      <c r="J33" s="783"/>
      <c r="K33" s="783"/>
      <c r="L33" s="783"/>
    </row>
    <row r="34" spans="2:12" x14ac:dyDescent="0.5">
      <c r="B34" s="783" t="s">
        <v>465</v>
      </c>
      <c r="C34" s="783"/>
      <c r="D34" s="783"/>
      <c r="E34" s="783"/>
      <c r="F34" s="783"/>
      <c r="G34" s="783"/>
      <c r="H34" s="783"/>
      <c r="I34" s="783"/>
      <c r="J34" s="783"/>
      <c r="K34" s="783"/>
      <c r="L34" s="783"/>
    </row>
    <row r="35" spans="2:12" ht="24" customHeight="1" x14ac:dyDescent="0.5">
      <c r="B35" s="783" t="s">
        <v>466</v>
      </c>
      <c r="C35" s="783"/>
      <c r="D35" s="783"/>
      <c r="E35" s="783"/>
      <c r="F35" s="783"/>
      <c r="G35" s="783"/>
      <c r="H35" s="783"/>
      <c r="I35" s="783"/>
      <c r="J35" s="783"/>
      <c r="K35" s="783"/>
      <c r="L35" s="783"/>
    </row>
  </sheetData>
  <mergeCells count="9">
    <mergeCell ref="B33:L33"/>
    <mergeCell ref="B34:L34"/>
    <mergeCell ref="B35:L35"/>
    <mergeCell ref="B3:L3"/>
    <mergeCell ref="D4:E4"/>
    <mergeCell ref="G4:H4"/>
    <mergeCell ref="J4:K4"/>
    <mergeCell ref="B31:L31"/>
    <mergeCell ref="B32:L32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B2:L35"/>
  <sheetViews>
    <sheetView workbookViewId="0">
      <selection activeCell="K16" sqref="K16"/>
    </sheetView>
  </sheetViews>
  <sheetFormatPr defaultRowHeight="12.9" x14ac:dyDescent="0.5"/>
  <cols>
    <col min="2" max="2" width="30.64453125" customWidth="1"/>
    <col min="3" max="3" width="29.3515625" customWidth="1"/>
    <col min="4" max="4" width="8.3515625" customWidth="1"/>
    <col min="5" max="5" width="7.41015625" customWidth="1"/>
    <col min="6" max="6" width="2.52734375" customWidth="1"/>
    <col min="7" max="7" width="10.41015625" customWidth="1"/>
    <col min="9" max="9" width="2.52734375" customWidth="1"/>
    <col min="12" max="12" width="2.41015625" customWidth="1"/>
  </cols>
  <sheetData>
    <row r="2" spans="2:12" ht="13.2" thickBot="1" x14ac:dyDescent="0.55000000000000004"/>
    <row r="3" spans="2:12" ht="15.3" thickBot="1" x14ac:dyDescent="0.55000000000000004">
      <c r="B3" s="784" t="s">
        <v>336</v>
      </c>
      <c r="C3" s="784"/>
      <c r="D3" s="784"/>
      <c r="E3" s="784"/>
      <c r="F3" s="784"/>
      <c r="G3" s="784"/>
      <c r="H3" s="784"/>
      <c r="I3" s="784"/>
      <c r="J3" s="784"/>
      <c r="K3" s="784"/>
      <c r="L3" s="784"/>
    </row>
    <row r="4" spans="2:12" ht="13.5" thickTop="1" thickBot="1" x14ac:dyDescent="0.55000000000000004">
      <c r="B4" s="20">
        <v>2010</v>
      </c>
      <c r="C4" s="26"/>
      <c r="D4" s="785" t="s">
        <v>337</v>
      </c>
      <c r="E4" s="786"/>
      <c r="F4" s="24"/>
      <c r="G4" s="786" t="s">
        <v>449</v>
      </c>
      <c r="H4" s="786"/>
      <c r="I4" s="24"/>
      <c r="J4" s="786" t="s">
        <v>339</v>
      </c>
      <c r="K4" s="786"/>
      <c r="L4" s="24"/>
    </row>
    <row r="5" spans="2:12" ht="13.2" thickBot="1" x14ac:dyDescent="0.55000000000000004">
      <c r="B5" s="22" t="s">
        <v>340</v>
      </c>
      <c r="C5" s="29"/>
      <c r="D5" s="27" t="s">
        <v>341</v>
      </c>
      <c r="E5" s="27" t="s">
        <v>259</v>
      </c>
      <c r="F5" s="24"/>
      <c r="G5" s="27" t="s">
        <v>341</v>
      </c>
      <c r="H5" s="27" t="s">
        <v>259</v>
      </c>
      <c r="I5" s="24"/>
      <c r="J5" s="30" t="s">
        <v>341</v>
      </c>
      <c r="K5" s="30" t="s">
        <v>342</v>
      </c>
      <c r="L5" s="24"/>
    </row>
    <row r="6" spans="2:12" ht="14.7" x14ac:dyDescent="0.5">
      <c r="B6" s="21" t="s">
        <v>343</v>
      </c>
      <c r="C6" s="26"/>
      <c r="D6" s="34" t="s">
        <v>479</v>
      </c>
      <c r="E6" s="34">
        <v>0.14799999999999999</v>
      </c>
      <c r="F6" s="24"/>
      <c r="G6" s="34">
        <v>2.1999999999999999E-2</v>
      </c>
      <c r="H6" s="34">
        <v>1.9E-2</v>
      </c>
      <c r="I6" s="24"/>
      <c r="J6" s="34">
        <v>0.13</v>
      </c>
      <c r="K6" s="34">
        <f>E6+H6</f>
        <v>0.16699999999999998</v>
      </c>
      <c r="L6" s="24"/>
    </row>
    <row r="7" spans="2:12" ht="14.7" x14ac:dyDescent="0.5">
      <c r="B7" s="21" t="s">
        <v>344</v>
      </c>
      <c r="C7" s="26"/>
      <c r="D7" s="34" t="s">
        <v>479</v>
      </c>
      <c r="E7" s="34">
        <v>0.14799999999999999</v>
      </c>
      <c r="F7" s="24"/>
      <c r="G7" s="34">
        <v>2.1999999999999999E-2</v>
      </c>
      <c r="H7" s="34">
        <v>0.02</v>
      </c>
      <c r="I7" s="24"/>
      <c r="J7" s="34">
        <v>0.13</v>
      </c>
      <c r="K7" s="34">
        <f>E7+H7</f>
        <v>0.16799999999999998</v>
      </c>
      <c r="L7" s="24"/>
    </row>
    <row r="8" spans="2:12" x14ac:dyDescent="0.5">
      <c r="B8" s="21" t="s">
        <v>451</v>
      </c>
      <c r="C8" s="26" t="s">
        <v>346</v>
      </c>
      <c r="D8" s="35" t="s">
        <v>347</v>
      </c>
      <c r="E8" s="35" t="s">
        <v>347</v>
      </c>
      <c r="F8" s="25"/>
      <c r="G8" s="35">
        <v>0.15</v>
      </c>
      <c r="H8" s="35"/>
      <c r="I8" s="25"/>
      <c r="J8" s="35"/>
      <c r="K8" s="35"/>
      <c r="L8" s="25"/>
    </row>
    <row r="9" spans="2:12" x14ac:dyDescent="0.5">
      <c r="B9" s="21" t="s">
        <v>298</v>
      </c>
      <c r="C9" s="26" t="s">
        <v>346</v>
      </c>
      <c r="D9" s="35" t="s">
        <v>347</v>
      </c>
      <c r="E9" s="35" t="s">
        <v>347</v>
      </c>
      <c r="F9" s="25"/>
      <c r="G9" s="37" t="s">
        <v>348</v>
      </c>
      <c r="H9" s="35"/>
      <c r="I9" s="25"/>
      <c r="J9" s="35"/>
      <c r="K9" s="35"/>
      <c r="L9" s="25"/>
    </row>
    <row r="10" spans="2:12" ht="14.7" x14ac:dyDescent="0.5">
      <c r="B10" s="21"/>
      <c r="C10" s="26" t="s">
        <v>349</v>
      </c>
      <c r="D10" s="35" t="s">
        <v>347</v>
      </c>
      <c r="E10" s="35" t="s">
        <v>347</v>
      </c>
      <c r="F10" s="25"/>
      <c r="G10" s="35" t="s">
        <v>477</v>
      </c>
      <c r="H10" s="35"/>
      <c r="I10" s="25"/>
      <c r="J10" s="35"/>
      <c r="K10" s="35"/>
      <c r="L10" s="25"/>
    </row>
    <row r="11" spans="2:12" ht="14.4" x14ac:dyDescent="0.5">
      <c r="B11" s="21"/>
      <c r="C11" s="26" t="s">
        <v>453</v>
      </c>
      <c r="D11" s="35" t="s">
        <v>347</v>
      </c>
      <c r="E11" s="35" t="s">
        <v>347</v>
      </c>
      <c r="F11" s="25"/>
      <c r="G11" s="37" t="s">
        <v>454</v>
      </c>
      <c r="H11" s="35"/>
      <c r="I11" s="25"/>
      <c r="J11" s="35"/>
      <c r="K11" s="35"/>
      <c r="L11" s="25"/>
    </row>
    <row r="12" spans="2:12" x14ac:dyDescent="0.5">
      <c r="B12" s="21" t="s">
        <v>353</v>
      </c>
      <c r="C12" s="26"/>
      <c r="D12" s="35">
        <v>0.3</v>
      </c>
      <c r="E12" s="35">
        <v>0.20499999999999999</v>
      </c>
      <c r="F12" s="25"/>
      <c r="G12" s="35">
        <v>0.15</v>
      </c>
      <c r="H12" s="35">
        <v>0.14099999999999999</v>
      </c>
      <c r="I12" s="25"/>
      <c r="J12" s="35">
        <v>0.45</v>
      </c>
      <c r="K12" s="35">
        <f>E12+H12</f>
        <v>0.34599999999999997</v>
      </c>
      <c r="L12" s="25"/>
    </row>
    <row r="13" spans="2:12" x14ac:dyDescent="0.5">
      <c r="B13" s="21" t="s">
        <v>302</v>
      </c>
      <c r="C13" s="26"/>
      <c r="D13" s="35" t="s">
        <v>347</v>
      </c>
      <c r="E13" s="35" t="s">
        <v>347</v>
      </c>
      <c r="F13" s="25"/>
      <c r="G13" s="35"/>
      <c r="H13" s="35"/>
      <c r="I13" s="25"/>
      <c r="J13" s="35"/>
      <c r="K13" s="35"/>
      <c r="L13" s="25"/>
    </row>
    <row r="14" spans="2:12" x14ac:dyDescent="0.5">
      <c r="B14" s="21" t="s">
        <v>303</v>
      </c>
      <c r="C14" s="26"/>
      <c r="D14" s="35" t="s">
        <v>347</v>
      </c>
      <c r="E14" s="35" t="s">
        <v>347</v>
      </c>
      <c r="F14" s="25"/>
      <c r="G14" s="35">
        <v>0.05</v>
      </c>
      <c r="H14" s="35"/>
      <c r="I14" s="25"/>
      <c r="J14" s="35">
        <v>0.05</v>
      </c>
      <c r="K14" s="35"/>
      <c r="L14" s="25"/>
    </row>
    <row r="15" spans="2:12" x14ac:dyDescent="0.5">
      <c r="B15" s="32" t="s">
        <v>96</v>
      </c>
      <c r="C15" s="26"/>
      <c r="D15" s="35">
        <v>7.0000000000000007E-2</v>
      </c>
      <c r="E15" s="36">
        <v>6.7000000000000004E-2</v>
      </c>
      <c r="F15" s="33"/>
      <c r="G15" s="36">
        <v>0.01</v>
      </c>
      <c r="H15" s="36">
        <v>1E-3</v>
      </c>
      <c r="I15" s="33"/>
      <c r="J15" s="36">
        <v>0.08</v>
      </c>
      <c r="K15" s="35">
        <f>E15+H15</f>
        <v>6.8000000000000005E-2</v>
      </c>
      <c r="L15" s="25"/>
    </row>
    <row r="16" spans="2:12" ht="25.2" x14ac:dyDescent="0.5">
      <c r="B16" s="32" t="s">
        <v>299</v>
      </c>
      <c r="C16" s="38" t="s">
        <v>455</v>
      </c>
      <c r="D16" s="35" t="s">
        <v>347</v>
      </c>
      <c r="E16" s="35" t="s">
        <v>347</v>
      </c>
      <c r="F16" s="33"/>
      <c r="G16" s="35">
        <v>0.02</v>
      </c>
      <c r="H16" s="36"/>
      <c r="I16" s="33"/>
      <c r="J16" s="36"/>
      <c r="K16" s="35"/>
      <c r="L16" s="25"/>
    </row>
    <row r="17" spans="2:12" ht="27" customHeight="1" x14ac:dyDescent="0.5">
      <c r="B17" s="32" t="s">
        <v>299</v>
      </c>
      <c r="C17" s="38" t="s">
        <v>456</v>
      </c>
      <c r="D17" s="35" t="s">
        <v>347</v>
      </c>
      <c r="E17" s="35" t="s">
        <v>347</v>
      </c>
      <c r="F17" s="25"/>
      <c r="G17" s="35">
        <v>0.02</v>
      </c>
      <c r="H17" s="35"/>
      <c r="I17" s="25"/>
      <c r="J17" s="35"/>
      <c r="K17" s="35"/>
      <c r="L17" s="25"/>
    </row>
    <row r="18" spans="2:12" x14ac:dyDescent="0.5">
      <c r="B18" s="32" t="s">
        <v>299</v>
      </c>
      <c r="C18" s="38" t="s">
        <v>457</v>
      </c>
      <c r="D18" s="35" t="s">
        <v>347</v>
      </c>
      <c r="E18" s="35" t="s">
        <v>347</v>
      </c>
      <c r="F18" s="25"/>
      <c r="G18" s="35">
        <v>0.02</v>
      </c>
      <c r="H18" s="35">
        <v>8.0000000000000002E-3</v>
      </c>
      <c r="I18" s="25"/>
      <c r="J18" s="35"/>
      <c r="K18" s="35"/>
      <c r="L18" s="25"/>
    </row>
    <row r="19" spans="2:12" ht="14.7" x14ac:dyDescent="0.5">
      <c r="B19" s="32" t="s">
        <v>299</v>
      </c>
      <c r="C19" s="38" t="s">
        <v>458</v>
      </c>
      <c r="D19" s="35" t="s">
        <v>459</v>
      </c>
      <c r="E19" s="35">
        <v>0.157</v>
      </c>
      <c r="F19" s="25"/>
      <c r="G19" s="35">
        <v>0.02</v>
      </c>
      <c r="H19" s="35">
        <v>1.7999999999999999E-2</v>
      </c>
      <c r="I19" s="25"/>
      <c r="J19" s="35"/>
      <c r="K19" s="35"/>
      <c r="L19" s="25"/>
    </row>
    <row r="20" spans="2:12" x14ac:dyDescent="0.5">
      <c r="B20" s="21" t="s">
        <v>354</v>
      </c>
      <c r="C20" s="38" t="s">
        <v>460</v>
      </c>
      <c r="D20" s="35" t="s">
        <v>347</v>
      </c>
      <c r="E20" s="35" t="s">
        <v>347</v>
      </c>
      <c r="F20" s="25"/>
      <c r="G20" s="35">
        <v>0.02</v>
      </c>
      <c r="H20" s="35"/>
      <c r="I20" s="25"/>
      <c r="J20" s="35"/>
      <c r="K20" s="35"/>
      <c r="L20" s="25"/>
    </row>
    <row r="21" spans="2:12" x14ac:dyDescent="0.5">
      <c r="B21" s="21" t="s">
        <v>354</v>
      </c>
      <c r="C21" s="38" t="s">
        <v>461</v>
      </c>
      <c r="D21" s="35" t="s">
        <v>347</v>
      </c>
      <c r="E21" s="35" t="s">
        <v>347</v>
      </c>
      <c r="F21" s="25"/>
      <c r="G21" s="35">
        <v>0.02</v>
      </c>
      <c r="H21" s="35">
        <v>8.0000000000000002E-3</v>
      </c>
      <c r="I21" s="25"/>
      <c r="J21" s="35"/>
      <c r="K21" s="35"/>
      <c r="L21" s="25"/>
    </row>
    <row r="22" spans="2:12" ht="25.2" x14ac:dyDescent="0.5">
      <c r="B22" s="21" t="s">
        <v>300</v>
      </c>
      <c r="C22" s="38" t="s">
        <v>462</v>
      </c>
      <c r="D22" s="35" t="s">
        <v>347</v>
      </c>
      <c r="E22" s="35" t="s">
        <v>347</v>
      </c>
      <c r="F22" s="25"/>
      <c r="G22" s="35">
        <v>0.02</v>
      </c>
      <c r="H22" s="35"/>
      <c r="I22" s="25"/>
      <c r="J22" s="35"/>
      <c r="K22" s="35"/>
      <c r="L22" s="25"/>
    </row>
    <row r="23" spans="2:12" x14ac:dyDescent="0.5">
      <c r="B23" s="21" t="s">
        <v>300</v>
      </c>
      <c r="C23" s="38" t="s">
        <v>463</v>
      </c>
      <c r="D23" s="35" t="s">
        <v>347</v>
      </c>
      <c r="E23" s="35" t="s">
        <v>347</v>
      </c>
      <c r="F23" s="25"/>
      <c r="G23" s="35">
        <v>0.02</v>
      </c>
      <c r="H23" s="35">
        <v>8.0000000000000002E-3</v>
      </c>
      <c r="I23" s="25"/>
      <c r="J23" s="35"/>
      <c r="K23" s="35"/>
      <c r="L23" s="25"/>
    </row>
    <row r="24" spans="2:12" x14ac:dyDescent="0.5">
      <c r="B24" s="21" t="s">
        <v>300</v>
      </c>
      <c r="C24" s="38" t="s">
        <v>464</v>
      </c>
      <c r="D24" s="35" t="s">
        <v>347</v>
      </c>
      <c r="E24" s="35" t="s">
        <v>347</v>
      </c>
      <c r="F24" s="25"/>
      <c r="G24" s="35">
        <v>0.02</v>
      </c>
      <c r="H24" s="35"/>
      <c r="I24" s="25"/>
      <c r="J24" s="35"/>
      <c r="K24" s="35"/>
      <c r="L24" s="25"/>
    </row>
    <row r="25" spans="2:12" ht="25.2" x14ac:dyDescent="0.5">
      <c r="B25" s="21" t="s">
        <v>301</v>
      </c>
      <c r="C25" s="38" t="s">
        <v>462</v>
      </c>
      <c r="D25" s="35" t="s">
        <v>347</v>
      </c>
      <c r="E25" s="35" t="s">
        <v>347</v>
      </c>
      <c r="F25" s="25"/>
      <c r="G25" s="35">
        <v>0.02</v>
      </c>
      <c r="H25" s="35"/>
      <c r="I25" s="25"/>
      <c r="J25" s="35"/>
      <c r="K25" s="35"/>
      <c r="L25" s="25"/>
    </row>
    <row r="26" spans="2:12" x14ac:dyDescent="0.5">
      <c r="B26" s="21" t="s">
        <v>301</v>
      </c>
      <c r="C26" s="38" t="s">
        <v>463</v>
      </c>
      <c r="D26" s="35" t="s">
        <v>347</v>
      </c>
      <c r="E26" s="35" t="s">
        <v>347</v>
      </c>
      <c r="F26" s="25"/>
      <c r="G26" s="35">
        <v>0.02</v>
      </c>
      <c r="H26" s="35">
        <v>8.0000000000000002E-3</v>
      </c>
      <c r="I26" s="25"/>
      <c r="J26" s="35"/>
      <c r="K26" s="35"/>
      <c r="L26" s="25"/>
    </row>
    <row r="27" spans="2:12" x14ac:dyDescent="0.5">
      <c r="B27" s="21" t="s">
        <v>301</v>
      </c>
      <c r="C27" s="38" t="s">
        <v>464</v>
      </c>
      <c r="D27" s="35" t="s">
        <v>347</v>
      </c>
      <c r="E27" s="35" t="s">
        <v>347</v>
      </c>
      <c r="F27" s="25"/>
      <c r="G27" s="35">
        <v>0.02</v>
      </c>
      <c r="H27" s="35"/>
      <c r="I27" s="25"/>
      <c r="J27" s="35"/>
      <c r="K27" s="35"/>
      <c r="L27" s="25"/>
    </row>
    <row r="28" spans="2:12" x14ac:dyDescent="0.5">
      <c r="B28" s="21" t="s">
        <v>362</v>
      </c>
      <c r="C28" s="38" t="s">
        <v>464</v>
      </c>
      <c r="D28" s="35" t="s">
        <v>347</v>
      </c>
      <c r="E28" s="35" t="s">
        <v>347</v>
      </c>
      <c r="F28" s="25"/>
      <c r="G28" s="35">
        <v>0.02</v>
      </c>
      <c r="H28" s="35"/>
      <c r="I28" s="25"/>
      <c r="J28" s="35"/>
      <c r="K28" s="35"/>
      <c r="L28" s="25"/>
    </row>
    <row r="29" spans="2:12" x14ac:dyDescent="0.5">
      <c r="B29" s="21"/>
      <c r="C29" s="26"/>
      <c r="K29" s="25"/>
      <c r="L29" s="25"/>
    </row>
    <row r="30" spans="2:12" x14ac:dyDescent="0.5"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</row>
    <row r="31" spans="2:12" x14ac:dyDescent="0.5">
      <c r="B31" s="783" t="s">
        <v>363</v>
      </c>
      <c r="C31" s="783"/>
      <c r="D31" s="783"/>
      <c r="E31" s="783"/>
      <c r="F31" s="783"/>
      <c r="G31" s="783"/>
      <c r="H31" s="783"/>
      <c r="I31" s="783"/>
      <c r="J31" s="783"/>
      <c r="K31" s="783"/>
      <c r="L31" s="783"/>
    </row>
    <row r="32" spans="2:12" x14ac:dyDescent="0.5">
      <c r="B32" s="783" t="s">
        <v>364</v>
      </c>
      <c r="C32" s="783"/>
      <c r="D32" s="783"/>
      <c r="E32" s="783"/>
      <c r="F32" s="783"/>
      <c r="G32" s="783"/>
      <c r="H32" s="783"/>
      <c r="I32" s="783"/>
      <c r="J32" s="783"/>
      <c r="K32" s="783"/>
      <c r="L32" s="783"/>
    </row>
    <row r="33" spans="2:12" x14ac:dyDescent="0.5">
      <c r="B33" s="783" t="s">
        <v>365</v>
      </c>
      <c r="C33" s="783"/>
      <c r="D33" s="783"/>
      <c r="E33" s="783"/>
      <c r="F33" s="783"/>
      <c r="G33" s="783"/>
      <c r="H33" s="783"/>
      <c r="I33" s="783"/>
      <c r="J33" s="783"/>
      <c r="K33" s="783"/>
      <c r="L33" s="783"/>
    </row>
    <row r="34" spans="2:12" x14ac:dyDescent="0.5">
      <c r="B34" s="783" t="s">
        <v>465</v>
      </c>
      <c r="C34" s="783"/>
      <c r="D34" s="783"/>
      <c r="E34" s="783"/>
      <c r="F34" s="783"/>
      <c r="G34" s="783"/>
      <c r="H34" s="783"/>
      <c r="I34" s="783"/>
      <c r="J34" s="783"/>
      <c r="K34" s="783"/>
      <c r="L34" s="783"/>
    </row>
    <row r="35" spans="2:12" ht="24" customHeight="1" x14ac:dyDescent="0.5">
      <c r="B35" s="783" t="s">
        <v>466</v>
      </c>
      <c r="C35" s="783"/>
      <c r="D35" s="783"/>
      <c r="E35" s="783"/>
      <c r="F35" s="783"/>
      <c r="G35" s="783"/>
      <c r="H35" s="783"/>
      <c r="I35" s="783"/>
      <c r="J35" s="783"/>
      <c r="K35" s="783"/>
      <c r="L35" s="783"/>
    </row>
  </sheetData>
  <mergeCells count="9">
    <mergeCell ref="B33:L33"/>
    <mergeCell ref="B34:L34"/>
    <mergeCell ref="B35:L35"/>
    <mergeCell ref="B3:L3"/>
    <mergeCell ref="D4:E4"/>
    <mergeCell ref="G4:H4"/>
    <mergeCell ref="J4:K4"/>
    <mergeCell ref="B31:L31"/>
    <mergeCell ref="B32:L32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B2:L34"/>
  <sheetViews>
    <sheetView workbookViewId="0">
      <selection activeCell="D19" sqref="D19"/>
    </sheetView>
  </sheetViews>
  <sheetFormatPr defaultRowHeight="12.9" x14ac:dyDescent="0.5"/>
  <cols>
    <col min="2" max="2" width="30.64453125" customWidth="1"/>
    <col min="3" max="3" width="29.3515625" customWidth="1"/>
    <col min="4" max="4" width="8.3515625" customWidth="1"/>
    <col min="5" max="5" width="7.41015625" customWidth="1"/>
    <col min="6" max="6" width="2.52734375" customWidth="1"/>
    <col min="7" max="7" width="10.41015625" customWidth="1"/>
    <col min="9" max="9" width="2.52734375" customWidth="1"/>
    <col min="12" max="12" width="2.41015625" customWidth="1"/>
  </cols>
  <sheetData>
    <row r="2" spans="2:12" ht="13.2" thickBot="1" x14ac:dyDescent="0.55000000000000004"/>
    <row r="3" spans="2:12" ht="15.3" thickBot="1" x14ac:dyDescent="0.55000000000000004">
      <c r="B3" s="788" t="s">
        <v>336</v>
      </c>
      <c r="C3" s="784"/>
      <c r="D3" s="784"/>
      <c r="E3" s="784"/>
      <c r="F3" s="784"/>
      <c r="G3" s="784"/>
      <c r="H3" s="784"/>
      <c r="I3" s="784"/>
      <c r="J3" s="784"/>
      <c r="K3" s="784"/>
      <c r="L3" s="789"/>
    </row>
    <row r="4" spans="2:12" ht="13.5" thickTop="1" thickBot="1" x14ac:dyDescent="0.55000000000000004">
      <c r="B4" s="39">
        <v>2009</v>
      </c>
      <c r="C4" s="26"/>
      <c r="D4" s="785" t="s">
        <v>337</v>
      </c>
      <c r="E4" s="786"/>
      <c r="F4" s="40"/>
      <c r="G4" s="786" t="s">
        <v>449</v>
      </c>
      <c r="H4" s="786"/>
      <c r="I4" s="40"/>
      <c r="J4" s="786" t="s">
        <v>339</v>
      </c>
      <c r="K4" s="786"/>
      <c r="L4" s="41"/>
    </row>
    <row r="5" spans="2:12" ht="13.2" thickBot="1" x14ac:dyDescent="0.55000000000000004">
      <c r="B5" s="42" t="s">
        <v>340</v>
      </c>
      <c r="C5" s="29"/>
      <c r="D5" s="27" t="s">
        <v>341</v>
      </c>
      <c r="E5" s="27" t="s">
        <v>259</v>
      </c>
      <c r="F5" s="40"/>
      <c r="G5" s="27" t="s">
        <v>341</v>
      </c>
      <c r="H5" s="27" t="s">
        <v>259</v>
      </c>
      <c r="I5" s="40"/>
      <c r="J5" s="30" t="s">
        <v>341</v>
      </c>
      <c r="K5" s="30" t="s">
        <v>342</v>
      </c>
      <c r="L5" s="41"/>
    </row>
    <row r="6" spans="2:12" ht="14.7" x14ac:dyDescent="0.5">
      <c r="B6" s="43" t="s">
        <v>343</v>
      </c>
      <c r="C6" s="26"/>
      <c r="D6" s="44" t="s">
        <v>476</v>
      </c>
      <c r="E6" s="44">
        <v>8.5999999999999993E-2</v>
      </c>
      <c r="F6" s="40"/>
      <c r="G6" s="44">
        <v>1.9E-2</v>
      </c>
      <c r="H6" s="44">
        <v>1.6E-2</v>
      </c>
      <c r="I6" s="40"/>
      <c r="J6" s="44">
        <v>0.11</v>
      </c>
      <c r="K6" s="44">
        <f>E6+H6</f>
        <v>0.10199999999999999</v>
      </c>
      <c r="L6" s="41"/>
    </row>
    <row r="7" spans="2:12" ht="14.7" x14ac:dyDescent="0.5">
      <c r="B7" s="43" t="s">
        <v>344</v>
      </c>
      <c r="C7" s="26"/>
      <c r="D7" s="44" t="s">
        <v>476</v>
      </c>
      <c r="E7" s="44">
        <v>8.5999999999999993E-2</v>
      </c>
      <c r="F7" s="40"/>
      <c r="G7" s="44">
        <v>1.9E-2</v>
      </c>
      <c r="H7" s="44">
        <v>1.7999999999999999E-2</v>
      </c>
      <c r="I7" s="40"/>
      <c r="J7" s="44">
        <v>0.11</v>
      </c>
      <c r="K7" s="44">
        <f>E7+H7</f>
        <v>0.104</v>
      </c>
      <c r="L7" s="41"/>
    </row>
    <row r="8" spans="2:12" x14ac:dyDescent="0.5">
      <c r="B8" s="43" t="s">
        <v>451</v>
      </c>
      <c r="C8" s="26" t="s">
        <v>346</v>
      </c>
      <c r="D8" s="36" t="s">
        <v>347</v>
      </c>
      <c r="E8" s="36" t="s">
        <v>347</v>
      </c>
      <c r="F8" s="33"/>
      <c r="G8" s="36">
        <v>0.15</v>
      </c>
      <c r="H8" s="36"/>
      <c r="I8" s="33"/>
      <c r="J8" s="36"/>
      <c r="K8" s="36"/>
      <c r="L8" s="45"/>
    </row>
    <row r="9" spans="2:12" x14ac:dyDescent="0.5">
      <c r="B9" s="43" t="s">
        <v>298</v>
      </c>
      <c r="C9" s="26" t="s">
        <v>346</v>
      </c>
      <c r="D9" s="36" t="s">
        <v>347</v>
      </c>
      <c r="E9" s="36" t="s">
        <v>347</v>
      </c>
      <c r="F9" s="33"/>
      <c r="G9" s="46" t="s">
        <v>348</v>
      </c>
      <c r="H9" s="36"/>
      <c r="I9" s="33"/>
      <c r="J9" s="36"/>
      <c r="K9" s="36"/>
      <c r="L9" s="45"/>
    </row>
    <row r="10" spans="2:12" ht="14.7" x14ac:dyDescent="0.5">
      <c r="B10" s="43"/>
      <c r="C10" s="26" t="s">
        <v>349</v>
      </c>
      <c r="D10" s="36" t="s">
        <v>347</v>
      </c>
      <c r="E10" s="36" t="s">
        <v>347</v>
      </c>
      <c r="F10" s="33"/>
      <c r="G10" s="36" t="s">
        <v>477</v>
      </c>
      <c r="H10" s="36">
        <v>0</v>
      </c>
      <c r="I10" s="33"/>
      <c r="J10" s="36"/>
      <c r="K10" s="36"/>
      <c r="L10" s="45"/>
    </row>
    <row r="11" spans="2:12" ht="14.4" x14ac:dyDescent="0.5">
      <c r="B11" s="43"/>
      <c r="C11" s="26" t="s">
        <v>453</v>
      </c>
      <c r="D11" s="36" t="s">
        <v>347</v>
      </c>
      <c r="E11" s="36" t="s">
        <v>347</v>
      </c>
      <c r="F11" s="33"/>
      <c r="G11" s="46" t="s">
        <v>454</v>
      </c>
      <c r="H11" s="36"/>
      <c r="I11" s="33"/>
      <c r="J11" s="36"/>
      <c r="K11" s="36"/>
      <c r="L11" s="45"/>
    </row>
    <row r="12" spans="2:12" x14ac:dyDescent="0.5">
      <c r="B12" s="43" t="s">
        <v>353</v>
      </c>
      <c r="C12" s="26"/>
      <c r="D12" s="36">
        <v>0.3</v>
      </c>
      <c r="E12" s="36">
        <v>0.20499999999999999</v>
      </c>
      <c r="F12" s="33"/>
      <c r="G12" s="36">
        <v>0.15</v>
      </c>
      <c r="H12" s="36">
        <v>0.14099999999999999</v>
      </c>
      <c r="I12" s="33"/>
      <c r="J12" s="36">
        <v>0.45</v>
      </c>
      <c r="K12" s="36">
        <f>E12+H12</f>
        <v>0.34599999999999997</v>
      </c>
      <c r="L12" s="45"/>
    </row>
    <row r="13" spans="2:12" x14ac:dyDescent="0.5">
      <c r="B13" s="43" t="s">
        <v>302</v>
      </c>
      <c r="C13" s="26"/>
      <c r="D13" s="36" t="s">
        <v>347</v>
      </c>
      <c r="E13" s="36" t="s">
        <v>347</v>
      </c>
      <c r="F13" s="33"/>
      <c r="G13" s="36"/>
      <c r="H13" s="36"/>
      <c r="I13" s="33"/>
      <c r="J13" s="36"/>
      <c r="K13" s="36"/>
      <c r="L13" s="45"/>
    </row>
    <row r="14" spans="2:12" x14ac:dyDescent="0.5">
      <c r="B14" s="43" t="s">
        <v>303</v>
      </c>
      <c r="C14" s="26"/>
      <c r="D14" s="36" t="s">
        <v>347</v>
      </c>
      <c r="E14" s="36" t="s">
        <v>347</v>
      </c>
      <c r="F14" s="33"/>
      <c r="G14" s="36">
        <v>0.05</v>
      </c>
      <c r="H14" s="36"/>
      <c r="I14" s="33"/>
      <c r="J14" s="36">
        <v>0.05</v>
      </c>
      <c r="K14" s="36"/>
      <c r="L14" s="45"/>
    </row>
    <row r="15" spans="2:12" x14ac:dyDescent="0.5">
      <c r="B15" s="43" t="s">
        <v>96</v>
      </c>
      <c r="C15" s="26"/>
      <c r="D15" s="36">
        <v>7.0000000000000007E-2</v>
      </c>
      <c r="E15" s="36">
        <v>5.3999999999999999E-2</v>
      </c>
      <c r="F15" s="33"/>
      <c r="G15" s="36">
        <v>0.01</v>
      </c>
      <c r="H15" s="36">
        <v>7.0000000000000001E-3</v>
      </c>
      <c r="I15" s="33"/>
      <c r="J15" s="36">
        <v>0.08</v>
      </c>
      <c r="K15" s="36">
        <f>E15+H15</f>
        <v>6.0999999999999999E-2</v>
      </c>
      <c r="L15" s="45"/>
    </row>
    <row r="16" spans="2:12" ht="25.2" x14ac:dyDescent="0.5">
      <c r="B16" s="43" t="s">
        <v>299</v>
      </c>
      <c r="C16" s="38" t="s">
        <v>455</v>
      </c>
      <c r="D16" s="36" t="s">
        <v>347</v>
      </c>
      <c r="E16" s="36" t="s">
        <v>347</v>
      </c>
      <c r="F16" s="33"/>
      <c r="G16" s="36">
        <v>0.02</v>
      </c>
      <c r="H16" s="36"/>
      <c r="I16" s="33"/>
      <c r="J16" s="36"/>
      <c r="K16" s="36"/>
      <c r="L16" s="45"/>
    </row>
    <row r="17" spans="2:12" ht="27" customHeight="1" x14ac:dyDescent="0.5">
      <c r="B17" s="43" t="s">
        <v>299</v>
      </c>
      <c r="C17" s="38" t="s">
        <v>456</v>
      </c>
      <c r="D17" s="36" t="s">
        <v>347</v>
      </c>
      <c r="E17" s="36" t="s">
        <v>347</v>
      </c>
      <c r="F17" s="33"/>
      <c r="G17" s="36">
        <v>0.02</v>
      </c>
      <c r="H17" s="36"/>
      <c r="I17" s="33"/>
      <c r="J17" s="36"/>
      <c r="K17" s="36"/>
      <c r="L17" s="45"/>
    </row>
    <row r="18" spans="2:12" x14ac:dyDescent="0.5">
      <c r="B18" s="43" t="s">
        <v>299</v>
      </c>
      <c r="C18" s="38" t="s">
        <v>457</v>
      </c>
      <c r="D18" s="36" t="s">
        <v>347</v>
      </c>
      <c r="E18" s="36" t="s">
        <v>347</v>
      </c>
      <c r="F18" s="33"/>
      <c r="G18" s="36">
        <v>0.02</v>
      </c>
      <c r="H18" s="36">
        <v>8.0000000000000002E-3</v>
      </c>
      <c r="I18" s="33"/>
      <c r="J18" s="36"/>
      <c r="K18" s="36"/>
      <c r="L18" s="45"/>
    </row>
    <row r="19" spans="2:12" ht="14.7" x14ac:dyDescent="0.5">
      <c r="B19" s="43" t="s">
        <v>299</v>
      </c>
      <c r="C19" s="38" t="s">
        <v>458</v>
      </c>
      <c r="D19" s="36" t="s">
        <v>459</v>
      </c>
      <c r="E19" s="36">
        <v>0.16800000000000001</v>
      </c>
      <c r="F19" s="33"/>
      <c r="G19" s="36">
        <v>0.02</v>
      </c>
      <c r="H19" s="36">
        <v>1.2999999999999999E-2</v>
      </c>
      <c r="I19" s="33"/>
      <c r="J19" s="36"/>
      <c r="K19" s="36"/>
      <c r="L19" s="45"/>
    </row>
    <row r="20" spans="2:12" x14ac:dyDescent="0.5">
      <c r="B20" s="43" t="s">
        <v>354</v>
      </c>
      <c r="C20" s="38" t="s">
        <v>460</v>
      </c>
      <c r="D20" s="36" t="s">
        <v>347</v>
      </c>
      <c r="E20" s="36" t="s">
        <v>347</v>
      </c>
      <c r="F20" s="33"/>
      <c r="G20" s="36">
        <v>0.02</v>
      </c>
      <c r="H20" s="36"/>
      <c r="I20" s="33"/>
      <c r="J20" s="36"/>
      <c r="K20" s="36"/>
      <c r="L20" s="45"/>
    </row>
    <row r="21" spans="2:12" x14ac:dyDescent="0.5">
      <c r="B21" s="43" t="s">
        <v>354</v>
      </c>
      <c r="C21" s="38" t="s">
        <v>461</v>
      </c>
      <c r="D21" s="36" t="s">
        <v>347</v>
      </c>
      <c r="E21" s="36" t="s">
        <v>347</v>
      </c>
      <c r="F21" s="33"/>
      <c r="G21" s="36">
        <v>0.02</v>
      </c>
      <c r="H21" s="36">
        <v>8.0000000000000002E-3</v>
      </c>
      <c r="I21" s="33"/>
      <c r="J21" s="36"/>
      <c r="K21" s="36"/>
      <c r="L21" s="45"/>
    </row>
    <row r="22" spans="2:12" ht="25.2" x14ac:dyDescent="0.5">
      <c r="B22" s="43" t="s">
        <v>300</v>
      </c>
      <c r="C22" s="38" t="s">
        <v>462</v>
      </c>
      <c r="D22" s="36" t="s">
        <v>347</v>
      </c>
      <c r="E22" s="36" t="s">
        <v>347</v>
      </c>
      <c r="F22" s="33"/>
      <c r="G22" s="36">
        <v>0.02</v>
      </c>
      <c r="H22" s="36"/>
      <c r="I22" s="33"/>
      <c r="J22" s="36"/>
      <c r="K22" s="36"/>
      <c r="L22" s="45"/>
    </row>
    <row r="23" spans="2:12" x14ac:dyDescent="0.5">
      <c r="B23" s="43" t="s">
        <v>300</v>
      </c>
      <c r="C23" s="38" t="s">
        <v>463</v>
      </c>
      <c r="D23" s="36" t="s">
        <v>347</v>
      </c>
      <c r="E23" s="36" t="s">
        <v>347</v>
      </c>
      <c r="F23" s="33"/>
      <c r="G23" s="36">
        <v>0.02</v>
      </c>
      <c r="H23" s="36">
        <v>8.0000000000000002E-3</v>
      </c>
      <c r="I23" s="33"/>
      <c r="J23" s="36"/>
      <c r="K23" s="36"/>
      <c r="L23" s="45"/>
    </row>
    <row r="24" spans="2:12" x14ac:dyDescent="0.5">
      <c r="B24" s="43" t="s">
        <v>300</v>
      </c>
      <c r="C24" s="38" t="s">
        <v>464</v>
      </c>
      <c r="D24" s="36" t="s">
        <v>347</v>
      </c>
      <c r="E24" s="36" t="s">
        <v>347</v>
      </c>
      <c r="F24" s="33"/>
      <c r="G24" s="36">
        <v>0.02</v>
      </c>
      <c r="H24" s="36"/>
      <c r="I24" s="33"/>
      <c r="J24" s="36"/>
      <c r="K24" s="36"/>
      <c r="L24" s="45"/>
    </row>
    <row r="25" spans="2:12" ht="25.2" x14ac:dyDescent="0.5">
      <c r="B25" s="43" t="s">
        <v>301</v>
      </c>
      <c r="C25" s="38" t="s">
        <v>462</v>
      </c>
      <c r="D25" s="36" t="s">
        <v>347</v>
      </c>
      <c r="E25" s="36" t="s">
        <v>347</v>
      </c>
      <c r="F25" s="33"/>
      <c r="G25" s="36">
        <v>0.02</v>
      </c>
      <c r="H25" s="36"/>
      <c r="I25" s="33"/>
      <c r="J25" s="36"/>
      <c r="K25" s="36"/>
      <c r="L25" s="45"/>
    </row>
    <row r="26" spans="2:12" x14ac:dyDescent="0.5">
      <c r="B26" s="43" t="s">
        <v>301</v>
      </c>
      <c r="C26" s="38" t="s">
        <v>463</v>
      </c>
      <c r="D26" s="36" t="s">
        <v>347</v>
      </c>
      <c r="E26" s="36" t="s">
        <v>347</v>
      </c>
      <c r="F26" s="33"/>
      <c r="G26" s="36">
        <v>0.02</v>
      </c>
      <c r="H26" s="36">
        <v>8.0000000000000002E-3</v>
      </c>
      <c r="I26" s="33"/>
      <c r="J26" s="36"/>
      <c r="K26" s="36"/>
      <c r="L26" s="45"/>
    </row>
    <row r="27" spans="2:12" x14ac:dyDescent="0.5">
      <c r="B27" s="43" t="s">
        <v>301</v>
      </c>
      <c r="C27" s="38" t="s">
        <v>464</v>
      </c>
      <c r="D27" s="36" t="s">
        <v>347</v>
      </c>
      <c r="E27" s="36" t="s">
        <v>347</v>
      </c>
      <c r="F27" s="33"/>
      <c r="G27" s="36">
        <v>0.02</v>
      </c>
      <c r="H27" s="36"/>
      <c r="I27" s="33"/>
      <c r="J27" s="36"/>
      <c r="K27" s="36"/>
      <c r="L27" s="45"/>
    </row>
    <row r="28" spans="2:12" x14ac:dyDescent="0.5">
      <c r="B28" s="43" t="s">
        <v>362</v>
      </c>
      <c r="C28" s="38" t="s">
        <v>464</v>
      </c>
      <c r="D28" s="36" t="s">
        <v>347</v>
      </c>
      <c r="E28" s="36" t="s">
        <v>347</v>
      </c>
      <c r="F28" s="33"/>
      <c r="G28" s="36">
        <v>0.02</v>
      </c>
      <c r="H28" s="36"/>
      <c r="I28" s="33"/>
      <c r="J28" s="36"/>
      <c r="K28" s="36"/>
      <c r="L28" s="45"/>
    </row>
    <row r="29" spans="2:12" ht="13.2" thickBot="1" x14ac:dyDescent="0.55000000000000004">
      <c r="B29" s="42"/>
      <c r="C29" s="29"/>
      <c r="D29" s="28"/>
      <c r="E29" s="28"/>
      <c r="F29" s="28"/>
      <c r="G29" s="28"/>
      <c r="H29" s="28"/>
      <c r="I29" s="28"/>
      <c r="J29" s="28"/>
      <c r="K29" s="31"/>
      <c r="L29" s="47"/>
    </row>
    <row r="30" spans="2:12" x14ac:dyDescent="0.5">
      <c r="B30" s="783" t="s">
        <v>363</v>
      </c>
      <c r="C30" s="783"/>
      <c r="D30" s="783"/>
      <c r="E30" s="783"/>
      <c r="F30" s="783"/>
      <c r="G30" s="783"/>
      <c r="H30" s="783"/>
      <c r="I30" s="783"/>
      <c r="J30" s="783"/>
      <c r="K30" s="783"/>
      <c r="L30" s="783"/>
    </row>
    <row r="31" spans="2:12" x14ac:dyDescent="0.5">
      <c r="B31" s="783" t="s">
        <v>364</v>
      </c>
      <c r="C31" s="783"/>
      <c r="D31" s="783"/>
      <c r="E31" s="783"/>
      <c r="F31" s="783"/>
      <c r="G31" s="783"/>
      <c r="H31" s="783"/>
      <c r="I31" s="783"/>
      <c r="J31" s="783"/>
      <c r="K31" s="783"/>
      <c r="L31" s="783"/>
    </row>
    <row r="32" spans="2:12" x14ac:dyDescent="0.5">
      <c r="B32" s="783" t="s">
        <v>365</v>
      </c>
      <c r="C32" s="783"/>
      <c r="D32" s="783"/>
      <c r="E32" s="783"/>
      <c r="F32" s="783"/>
      <c r="G32" s="783"/>
      <c r="H32" s="783"/>
      <c r="I32" s="783"/>
      <c r="J32" s="783"/>
      <c r="K32" s="783"/>
      <c r="L32" s="783"/>
    </row>
    <row r="33" spans="2:12" x14ac:dyDescent="0.5">
      <c r="B33" s="783" t="s">
        <v>465</v>
      </c>
      <c r="C33" s="783"/>
      <c r="D33" s="783"/>
      <c r="E33" s="783"/>
      <c r="F33" s="783"/>
      <c r="G33" s="783"/>
      <c r="H33" s="783"/>
      <c r="I33" s="783"/>
      <c r="J33" s="783"/>
      <c r="K33" s="783"/>
      <c r="L33" s="783"/>
    </row>
    <row r="34" spans="2:12" ht="24" customHeight="1" x14ac:dyDescent="0.5">
      <c r="B34" s="783" t="s">
        <v>466</v>
      </c>
      <c r="C34" s="783"/>
      <c r="D34" s="783"/>
      <c r="E34" s="783"/>
      <c r="F34" s="783"/>
      <c r="G34" s="783"/>
      <c r="H34" s="783"/>
      <c r="I34" s="783"/>
      <c r="J34" s="783"/>
      <c r="K34" s="783"/>
      <c r="L34" s="783"/>
    </row>
  </sheetData>
  <mergeCells count="9">
    <mergeCell ref="B32:L32"/>
    <mergeCell ref="B33:L33"/>
    <mergeCell ref="B34:L34"/>
    <mergeCell ref="B3:L3"/>
    <mergeCell ref="D4:E4"/>
    <mergeCell ref="G4:H4"/>
    <mergeCell ref="J4:K4"/>
    <mergeCell ref="B30:L30"/>
    <mergeCell ref="B31:L3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B2:L34"/>
  <sheetViews>
    <sheetView workbookViewId="0">
      <selection activeCell="B35" sqref="B35"/>
    </sheetView>
  </sheetViews>
  <sheetFormatPr defaultRowHeight="12.9" x14ac:dyDescent="0.5"/>
  <cols>
    <col min="2" max="2" width="30.64453125" customWidth="1"/>
    <col min="3" max="3" width="29.3515625" customWidth="1"/>
    <col min="4" max="5" width="8.3515625" customWidth="1"/>
    <col min="6" max="6" width="2.52734375" customWidth="1"/>
    <col min="7" max="7" width="10.41015625" customWidth="1"/>
    <col min="9" max="9" width="2.52734375" customWidth="1"/>
    <col min="12" max="12" width="2.41015625" customWidth="1"/>
  </cols>
  <sheetData>
    <row r="2" spans="2:12" ht="13.2" thickBot="1" x14ac:dyDescent="0.55000000000000004"/>
    <row r="3" spans="2:12" ht="15.3" thickBot="1" x14ac:dyDescent="0.55000000000000004">
      <c r="B3" s="788" t="s">
        <v>336</v>
      </c>
      <c r="C3" s="784"/>
      <c r="D3" s="784"/>
      <c r="E3" s="784"/>
      <c r="F3" s="784"/>
      <c r="G3" s="784"/>
      <c r="H3" s="784"/>
      <c r="I3" s="784"/>
      <c r="J3" s="784"/>
      <c r="K3" s="784"/>
      <c r="L3" s="789"/>
    </row>
    <row r="4" spans="2:12" ht="13.5" thickTop="1" thickBot="1" x14ac:dyDescent="0.55000000000000004">
      <c r="B4" s="39">
        <v>2008</v>
      </c>
      <c r="C4" s="26"/>
      <c r="D4" s="785" t="s">
        <v>337</v>
      </c>
      <c r="E4" s="786"/>
      <c r="F4" s="40"/>
      <c r="G4" s="786" t="s">
        <v>449</v>
      </c>
      <c r="H4" s="786"/>
      <c r="I4" s="40"/>
      <c r="J4" s="786" t="s">
        <v>339</v>
      </c>
      <c r="K4" s="786"/>
      <c r="L4" s="41"/>
    </row>
    <row r="5" spans="2:12" ht="13.2" thickBot="1" x14ac:dyDescent="0.55000000000000004">
      <c r="B5" s="42" t="s">
        <v>340</v>
      </c>
      <c r="C5" s="29"/>
      <c r="D5" s="27" t="s">
        <v>341</v>
      </c>
      <c r="E5" s="27" t="s">
        <v>259</v>
      </c>
      <c r="F5" s="40"/>
      <c r="G5" s="27" t="s">
        <v>341</v>
      </c>
      <c r="H5" s="27" t="s">
        <v>259</v>
      </c>
      <c r="I5" s="40"/>
      <c r="J5" s="30" t="s">
        <v>341</v>
      </c>
      <c r="K5" s="30" t="s">
        <v>342</v>
      </c>
      <c r="L5" s="41"/>
    </row>
    <row r="6" spans="2:12" ht="14.7" x14ac:dyDescent="0.5">
      <c r="B6" s="43" t="s">
        <v>343</v>
      </c>
      <c r="C6" s="26"/>
      <c r="D6" s="44" t="s">
        <v>476</v>
      </c>
      <c r="E6" s="44">
        <v>0.13700000000000001</v>
      </c>
      <c r="F6" s="40"/>
      <c r="G6" s="44">
        <v>1.9E-2</v>
      </c>
      <c r="H6" s="44">
        <v>2.1999999999999999E-2</v>
      </c>
      <c r="I6" s="40"/>
      <c r="J6" s="44">
        <v>0.11</v>
      </c>
      <c r="K6" s="44">
        <f>E6+H6</f>
        <v>0.159</v>
      </c>
      <c r="L6" s="41"/>
    </row>
    <row r="7" spans="2:12" ht="14.7" x14ac:dyDescent="0.5">
      <c r="B7" s="43" t="s">
        <v>344</v>
      </c>
      <c r="C7" s="26"/>
      <c r="D7" s="44" t="s">
        <v>476</v>
      </c>
      <c r="E7" s="44">
        <v>0.13700000000000001</v>
      </c>
      <c r="F7" s="40"/>
      <c r="G7" s="44">
        <v>1.9E-2</v>
      </c>
      <c r="H7" s="44">
        <v>2.1999999999999999E-2</v>
      </c>
      <c r="I7" s="40"/>
      <c r="J7" s="44">
        <v>0.11</v>
      </c>
      <c r="K7" s="44">
        <f>E7+H7</f>
        <v>0.159</v>
      </c>
      <c r="L7" s="41"/>
    </row>
    <row r="8" spans="2:12" x14ac:dyDescent="0.5">
      <c r="B8" s="43" t="s">
        <v>451</v>
      </c>
      <c r="C8" s="26" t="s">
        <v>346</v>
      </c>
      <c r="D8" s="36" t="s">
        <v>347</v>
      </c>
      <c r="E8" s="36" t="s">
        <v>347</v>
      </c>
      <c r="F8" s="33"/>
      <c r="G8" s="36">
        <v>0.15</v>
      </c>
      <c r="H8" s="36"/>
      <c r="I8" s="33"/>
      <c r="J8" s="36"/>
      <c r="K8" s="36"/>
      <c r="L8" s="45"/>
    </row>
    <row r="9" spans="2:12" x14ac:dyDescent="0.5">
      <c r="B9" s="43" t="s">
        <v>298</v>
      </c>
      <c r="C9" s="26" t="s">
        <v>346</v>
      </c>
      <c r="D9" s="36" t="s">
        <v>347</v>
      </c>
      <c r="E9" s="36" t="s">
        <v>347</v>
      </c>
      <c r="F9" s="33"/>
      <c r="G9" s="46" t="s">
        <v>348</v>
      </c>
      <c r="H9" s="36"/>
      <c r="I9" s="33"/>
      <c r="J9" s="36"/>
      <c r="K9" s="36"/>
      <c r="L9" s="45"/>
    </row>
    <row r="10" spans="2:12" ht="14.7" x14ac:dyDescent="0.5">
      <c r="B10" s="43"/>
      <c r="C10" s="26" t="s">
        <v>349</v>
      </c>
      <c r="D10" s="36" t="s">
        <v>347</v>
      </c>
      <c r="E10" s="36" t="s">
        <v>347</v>
      </c>
      <c r="F10" s="33"/>
      <c r="G10" s="36" t="s">
        <v>477</v>
      </c>
      <c r="H10" s="36"/>
      <c r="I10" s="33"/>
      <c r="J10" s="36"/>
      <c r="K10" s="36"/>
      <c r="L10" s="45"/>
    </row>
    <row r="11" spans="2:12" ht="14.4" x14ac:dyDescent="0.5">
      <c r="B11" s="43"/>
      <c r="C11" s="26" t="s">
        <v>453</v>
      </c>
      <c r="D11" s="36" t="s">
        <v>347</v>
      </c>
      <c r="E11" s="36" t="s">
        <v>347</v>
      </c>
      <c r="F11" s="33"/>
      <c r="G11" s="46" t="s">
        <v>454</v>
      </c>
      <c r="H11" s="36"/>
      <c r="I11" s="33"/>
      <c r="J11" s="36"/>
      <c r="K11" s="36"/>
      <c r="L11" s="45"/>
    </row>
    <row r="12" spans="2:12" x14ac:dyDescent="0.5">
      <c r="B12" s="43" t="s">
        <v>353</v>
      </c>
      <c r="C12" s="26"/>
      <c r="D12" s="36">
        <v>0.3</v>
      </c>
      <c r="E12" s="36">
        <v>0.20499999999999999</v>
      </c>
      <c r="F12" s="33"/>
      <c r="G12" s="36">
        <v>0.15</v>
      </c>
      <c r="H12" s="36">
        <v>0.14099999999999999</v>
      </c>
      <c r="I12" s="33"/>
      <c r="J12" s="36">
        <v>0.45</v>
      </c>
      <c r="K12" s="36">
        <f>E12+H12</f>
        <v>0.34599999999999997</v>
      </c>
      <c r="L12" s="45"/>
    </row>
    <row r="13" spans="2:12" x14ac:dyDescent="0.5">
      <c r="B13" s="43" t="s">
        <v>302</v>
      </c>
      <c r="C13" s="26"/>
      <c r="D13" s="36" t="s">
        <v>347</v>
      </c>
      <c r="E13" s="36" t="s">
        <v>347</v>
      </c>
      <c r="F13" s="33"/>
      <c r="G13" s="36"/>
      <c r="H13" s="36"/>
      <c r="I13" s="33"/>
      <c r="J13" s="36"/>
      <c r="K13" s="36"/>
      <c r="L13" s="45"/>
    </row>
    <row r="14" spans="2:12" x14ac:dyDescent="0.5">
      <c r="B14" s="43" t="s">
        <v>303</v>
      </c>
      <c r="C14" s="26"/>
      <c r="D14" s="36" t="s">
        <v>347</v>
      </c>
      <c r="E14" s="36" t="s">
        <v>347</v>
      </c>
      <c r="F14" s="33"/>
      <c r="G14" s="36">
        <v>0.05</v>
      </c>
      <c r="H14" s="36"/>
      <c r="I14" s="33"/>
      <c r="J14" s="36">
        <v>0.05</v>
      </c>
      <c r="K14" s="36"/>
      <c r="L14" s="45"/>
    </row>
    <row r="15" spans="2:12" x14ac:dyDescent="0.5">
      <c r="B15" s="43" t="s">
        <v>96</v>
      </c>
      <c r="C15" s="26"/>
      <c r="D15" s="36">
        <v>7.0000000000000007E-2</v>
      </c>
      <c r="E15" s="36">
        <v>4.2000000000000003E-2</v>
      </c>
      <c r="F15" s="33"/>
      <c r="G15" s="36">
        <v>0.01</v>
      </c>
      <c r="H15" s="36">
        <v>4.0000000000000001E-3</v>
      </c>
      <c r="I15" s="33"/>
      <c r="J15" s="36">
        <v>0.08</v>
      </c>
      <c r="K15" s="36">
        <f>E15+H15</f>
        <v>4.5999999999999999E-2</v>
      </c>
      <c r="L15" s="45"/>
    </row>
    <row r="16" spans="2:12" ht="25.2" x14ac:dyDescent="0.5">
      <c r="B16" s="43" t="s">
        <v>299</v>
      </c>
      <c r="C16" s="38" t="s">
        <v>455</v>
      </c>
      <c r="D16" s="36" t="s">
        <v>347</v>
      </c>
      <c r="E16" s="36" t="s">
        <v>347</v>
      </c>
      <c r="F16" s="33"/>
      <c r="G16" s="36">
        <v>0.02</v>
      </c>
      <c r="H16" s="36"/>
      <c r="I16" s="33"/>
      <c r="J16" s="36"/>
      <c r="K16" s="36"/>
      <c r="L16" s="45"/>
    </row>
    <row r="17" spans="2:12" ht="27" customHeight="1" x14ac:dyDescent="0.5">
      <c r="B17" s="43" t="s">
        <v>299</v>
      </c>
      <c r="C17" s="38" t="s">
        <v>456</v>
      </c>
      <c r="D17" s="36" t="s">
        <v>347</v>
      </c>
      <c r="E17" s="36" t="s">
        <v>347</v>
      </c>
      <c r="F17" s="33"/>
      <c r="G17" s="36">
        <v>0.02</v>
      </c>
      <c r="H17" s="36"/>
      <c r="I17" s="33"/>
      <c r="J17" s="36"/>
      <c r="K17" s="36"/>
      <c r="L17" s="45"/>
    </row>
    <row r="18" spans="2:12" x14ac:dyDescent="0.5">
      <c r="B18" s="43" t="s">
        <v>299</v>
      </c>
      <c r="C18" s="38" t="s">
        <v>457</v>
      </c>
      <c r="D18" s="36" t="s">
        <v>347</v>
      </c>
      <c r="E18" s="36" t="s">
        <v>347</v>
      </c>
      <c r="F18" s="33"/>
      <c r="G18" s="36">
        <v>0.02</v>
      </c>
      <c r="H18" s="36">
        <v>0.01</v>
      </c>
      <c r="I18" s="33"/>
      <c r="J18" s="36"/>
      <c r="K18" s="36"/>
      <c r="L18" s="45"/>
    </row>
    <row r="19" spans="2:12" ht="14.7" x14ac:dyDescent="0.5">
      <c r="B19" s="43" t="s">
        <v>299</v>
      </c>
      <c r="C19" s="38" t="s">
        <v>458</v>
      </c>
      <c r="D19" s="36" t="s">
        <v>459</v>
      </c>
      <c r="E19" s="36">
        <v>0.152</v>
      </c>
      <c r="F19" s="33"/>
      <c r="G19" s="36">
        <v>0.02</v>
      </c>
      <c r="H19" s="36">
        <v>1.0999999999999999E-2</v>
      </c>
      <c r="I19" s="33"/>
      <c r="J19" s="36"/>
      <c r="K19" s="36"/>
      <c r="L19" s="45"/>
    </row>
    <row r="20" spans="2:12" x14ac:dyDescent="0.5">
      <c r="B20" s="43" t="s">
        <v>354</v>
      </c>
      <c r="C20" s="38" t="s">
        <v>460</v>
      </c>
      <c r="D20" s="36" t="s">
        <v>347</v>
      </c>
      <c r="E20" s="36" t="s">
        <v>347</v>
      </c>
      <c r="F20" s="33"/>
      <c r="G20" s="36">
        <v>0.02</v>
      </c>
      <c r="H20" s="36"/>
      <c r="I20" s="33"/>
      <c r="J20" s="36"/>
      <c r="K20" s="36"/>
      <c r="L20" s="45"/>
    </row>
    <row r="21" spans="2:12" x14ac:dyDescent="0.5">
      <c r="B21" s="43" t="s">
        <v>354</v>
      </c>
      <c r="C21" s="38" t="s">
        <v>461</v>
      </c>
      <c r="D21" s="36" t="s">
        <v>347</v>
      </c>
      <c r="E21" s="36" t="s">
        <v>347</v>
      </c>
      <c r="F21" s="33"/>
      <c r="G21" s="36">
        <v>0.02</v>
      </c>
      <c r="H21" s="36">
        <v>0.01</v>
      </c>
      <c r="I21" s="33"/>
      <c r="J21" s="36"/>
      <c r="K21" s="36"/>
      <c r="L21" s="45"/>
    </row>
    <row r="22" spans="2:12" ht="25.2" x14ac:dyDescent="0.5">
      <c r="B22" s="43" t="s">
        <v>300</v>
      </c>
      <c r="C22" s="38" t="s">
        <v>462</v>
      </c>
      <c r="D22" s="36" t="s">
        <v>347</v>
      </c>
      <c r="E22" s="36" t="s">
        <v>347</v>
      </c>
      <c r="F22" s="33"/>
      <c r="G22" s="36">
        <v>0.02</v>
      </c>
      <c r="H22" s="36"/>
      <c r="I22" s="33"/>
      <c r="J22" s="36"/>
      <c r="K22" s="36"/>
      <c r="L22" s="45"/>
    </row>
    <row r="23" spans="2:12" x14ac:dyDescent="0.5">
      <c r="B23" s="43" t="s">
        <v>300</v>
      </c>
      <c r="C23" s="38" t="s">
        <v>463</v>
      </c>
      <c r="D23" s="36" t="s">
        <v>347</v>
      </c>
      <c r="E23" s="36" t="s">
        <v>347</v>
      </c>
      <c r="F23" s="33"/>
      <c r="G23" s="36">
        <v>0.02</v>
      </c>
      <c r="H23" s="36">
        <v>0.01</v>
      </c>
      <c r="I23" s="33"/>
      <c r="J23" s="36"/>
      <c r="K23" s="36"/>
      <c r="L23" s="45"/>
    </row>
    <row r="24" spans="2:12" x14ac:dyDescent="0.5">
      <c r="B24" s="43" t="s">
        <v>300</v>
      </c>
      <c r="C24" s="38" t="s">
        <v>464</v>
      </c>
      <c r="D24" s="36" t="s">
        <v>347</v>
      </c>
      <c r="E24" s="36" t="s">
        <v>347</v>
      </c>
      <c r="F24" s="33"/>
      <c r="G24" s="36">
        <v>0.02</v>
      </c>
      <c r="H24" s="36"/>
      <c r="I24" s="33"/>
      <c r="J24" s="36"/>
      <c r="K24" s="36"/>
      <c r="L24" s="45"/>
    </row>
    <row r="25" spans="2:12" ht="25.2" x14ac:dyDescent="0.5">
      <c r="B25" s="43" t="s">
        <v>301</v>
      </c>
      <c r="C25" s="38" t="s">
        <v>462</v>
      </c>
      <c r="D25" s="36" t="s">
        <v>347</v>
      </c>
      <c r="E25" s="36" t="s">
        <v>347</v>
      </c>
      <c r="F25" s="33"/>
      <c r="G25" s="36">
        <v>0.02</v>
      </c>
      <c r="H25" s="36"/>
      <c r="I25" s="33"/>
      <c r="J25" s="36"/>
      <c r="K25" s="36"/>
      <c r="L25" s="45"/>
    </row>
    <row r="26" spans="2:12" x14ac:dyDescent="0.5">
      <c r="B26" s="43" t="s">
        <v>301</v>
      </c>
      <c r="C26" s="38" t="s">
        <v>463</v>
      </c>
      <c r="D26" s="36" t="s">
        <v>347</v>
      </c>
      <c r="E26" s="36" t="s">
        <v>347</v>
      </c>
      <c r="F26" s="33"/>
      <c r="G26" s="36">
        <v>0.02</v>
      </c>
      <c r="H26" s="36">
        <v>0.01</v>
      </c>
      <c r="I26" s="33"/>
      <c r="J26" s="36"/>
      <c r="K26" s="36"/>
      <c r="L26" s="45"/>
    </row>
    <row r="27" spans="2:12" x14ac:dyDescent="0.5">
      <c r="B27" s="43" t="s">
        <v>301</v>
      </c>
      <c r="C27" s="38" t="s">
        <v>464</v>
      </c>
      <c r="D27" s="36" t="s">
        <v>347</v>
      </c>
      <c r="E27" s="36" t="s">
        <v>347</v>
      </c>
      <c r="F27" s="33"/>
      <c r="G27" s="36">
        <v>0.02</v>
      </c>
      <c r="H27" s="36"/>
      <c r="I27" s="33"/>
      <c r="J27" s="36"/>
      <c r="K27" s="36"/>
      <c r="L27" s="45"/>
    </row>
    <row r="28" spans="2:12" x14ac:dyDescent="0.5">
      <c r="B28" s="43" t="s">
        <v>362</v>
      </c>
      <c r="C28" s="38" t="s">
        <v>464</v>
      </c>
      <c r="D28" s="36" t="s">
        <v>347</v>
      </c>
      <c r="E28" s="36" t="s">
        <v>347</v>
      </c>
      <c r="F28" s="33"/>
      <c r="G28" s="36">
        <v>0.02</v>
      </c>
      <c r="H28" s="36"/>
      <c r="I28" s="33"/>
      <c r="J28" s="36"/>
      <c r="K28" s="36"/>
      <c r="L28" s="45"/>
    </row>
    <row r="29" spans="2:12" ht="13.2" thickBot="1" x14ac:dyDescent="0.55000000000000004">
      <c r="B29" s="42"/>
      <c r="C29" s="29"/>
      <c r="D29" s="28"/>
      <c r="E29" s="28"/>
      <c r="F29" s="28"/>
      <c r="G29" s="28"/>
      <c r="H29" s="28"/>
      <c r="I29" s="28"/>
      <c r="J29" s="28"/>
      <c r="K29" s="31"/>
      <c r="L29" s="47"/>
    </row>
    <row r="30" spans="2:12" x14ac:dyDescent="0.5">
      <c r="B30" s="783" t="s">
        <v>363</v>
      </c>
      <c r="C30" s="783"/>
      <c r="D30" s="783"/>
      <c r="E30" s="783"/>
      <c r="F30" s="783"/>
      <c r="G30" s="783"/>
      <c r="H30" s="783"/>
      <c r="I30" s="783"/>
      <c r="J30" s="783"/>
      <c r="K30" s="783"/>
      <c r="L30" s="783"/>
    </row>
    <row r="31" spans="2:12" x14ac:dyDescent="0.5">
      <c r="B31" s="783" t="s">
        <v>364</v>
      </c>
      <c r="C31" s="783"/>
      <c r="D31" s="783"/>
      <c r="E31" s="783"/>
      <c r="F31" s="783"/>
      <c r="G31" s="783"/>
      <c r="H31" s="783"/>
      <c r="I31" s="783"/>
      <c r="J31" s="783"/>
      <c r="K31" s="783"/>
      <c r="L31" s="783"/>
    </row>
    <row r="32" spans="2:12" x14ac:dyDescent="0.5">
      <c r="B32" s="783" t="s">
        <v>365</v>
      </c>
      <c r="C32" s="783"/>
      <c r="D32" s="783"/>
      <c r="E32" s="783"/>
      <c r="F32" s="783"/>
      <c r="G32" s="783"/>
      <c r="H32" s="783"/>
      <c r="I32" s="783"/>
      <c r="J32" s="783"/>
      <c r="K32" s="783"/>
      <c r="L32" s="783"/>
    </row>
    <row r="33" spans="2:12" x14ac:dyDescent="0.5">
      <c r="B33" s="783" t="s">
        <v>465</v>
      </c>
      <c r="C33" s="783"/>
      <c r="D33" s="783"/>
      <c r="E33" s="783"/>
      <c r="F33" s="783"/>
      <c r="G33" s="783"/>
      <c r="H33" s="783"/>
      <c r="I33" s="783"/>
      <c r="J33" s="783"/>
      <c r="K33" s="783"/>
      <c r="L33" s="783"/>
    </row>
    <row r="34" spans="2:12" ht="24" customHeight="1" x14ac:dyDescent="0.5">
      <c r="B34" s="783" t="s">
        <v>466</v>
      </c>
      <c r="C34" s="783"/>
      <c r="D34" s="783"/>
      <c r="E34" s="783"/>
      <c r="F34" s="783"/>
      <c r="G34" s="783"/>
      <c r="H34" s="783"/>
      <c r="I34" s="783"/>
      <c r="J34" s="783"/>
      <c r="K34" s="783"/>
      <c r="L34" s="783"/>
    </row>
  </sheetData>
  <mergeCells count="9">
    <mergeCell ref="B32:L32"/>
    <mergeCell ref="B33:L33"/>
    <mergeCell ref="B34:L34"/>
    <mergeCell ref="B3:L3"/>
    <mergeCell ref="D4:E4"/>
    <mergeCell ref="G4:H4"/>
    <mergeCell ref="J4:K4"/>
    <mergeCell ref="B30:L30"/>
    <mergeCell ref="B31:L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M12"/>
  <sheetViews>
    <sheetView workbookViewId="0">
      <selection activeCell="B12" sqref="B12"/>
    </sheetView>
  </sheetViews>
  <sheetFormatPr defaultColWidth="8.87890625" defaultRowHeight="12.9" x14ac:dyDescent="0.5"/>
  <cols>
    <col min="1" max="11" width="15.76171875" style="599" customWidth="1"/>
    <col min="12" max="16384" width="8.87890625" style="236"/>
  </cols>
  <sheetData>
    <row r="1" spans="1:13" x14ac:dyDescent="0.5">
      <c r="A1" s="599" t="s">
        <v>82</v>
      </c>
      <c r="B1" s="599" t="s">
        <v>705</v>
      </c>
      <c r="C1" s="599" t="s">
        <v>706</v>
      </c>
      <c r="D1" s="599" t="s">
        <v>707</v>
      </c>
      <c r="E1" s="599" t="s">
        <v>708</v>
      </c>
      <c r="F1" s="583" t="s">
        <v>709</v>
      </c>
      <c r="G1" s="599" t="s">
        <v>710</v>
      </c>
      <c r="H1" s="599" t="s">
        <v>711</v>
      </c>
      <c r="I1" s="599" t="s">
        <v>712</v>
      </c>
      <c r="J1" s="583" t="s">
        <v>713</v>
      </c>
      <c r="K1" s="599" t="s">
        <v>714</v>
      </c>
    </row>
    <row r="2" spans="1:13" x14ac:dyDescent="0.5">
      <c r="A2" s="599">
        <v>2008</v>
      </c>
      <c r="B2" s="592">
        <v>55747</v>
      </c>
      <c r="C2" s="592">
        <v>215</v>
      </c>
      <c r="D2" s="592">
        <v>55532</v>
      </c>
      <c r="E2" s="592">
        <v>9212</v>
      </c>
      <c r="F2" s="578">
        <f>'T5'!M2</f>
        <v>9427</v>
      </c>
      <c r="G2" s="578">
        <v>9029</v>
      </c>
      <c r="H2" s="592">
        <f t="shared" ref="H2:H9" si="0">(((B2-50000)*0.75)+21000)/2</f>
        <v>12655.125</v>
      </c>
      <c r="I2" s="594">
        <f t="shared" ref="I2:I8" si="1">H2/B2</f>
        <v>0.22700997363086803</v>
      </c>
      <c r="J2" s="579">
        <f t="shared" ref="J2:J7" si="2">F2/B2</f>
        <v>0.16910327013112814</v>
      </c>
      <c r="K2" s="579">
        <f t="shared" ref="K2:K7" si="3">G2/B2</f>
        <v>0.16196387249538091</v>
      </c>
    </row>
    <row r="3" spans="1:13" x14ac:dyDescent="0.5">
      <c r="A3" s="599">
        <v>2009</v>
      </c>
      <c r="B3" s="592">
        <v>55910</v>
      </c>
      <c r="C3" s="592">
        <v>2029</v>
      </c>
      <c r="D3" s="592">
        <v>53881</v>
      </c>
      <c r="E3" s="592">
        <v>8985.41</v>
      </c>
      <c r="F3" s="578">
        <f>'T5'!M3</f>
        <v>11014</v>
      </c>
      <c r="G3" s="578">
        <v>11650</v>
      </c>
      <c r="H3" s="592">
        <f t="shared" si="0"/>
        <v>12716.25</v>
      </c>
      <c r="I3" s="594">
        <f t="shared" si="1"/>
        <v>0.22744142371668755</v>
      </c>
      <c r="J3" s="579">
        <f t="shared" si="2"/>
        <v>0.19699517081023074</v>
      </c>
      <c r="K3" s="579">
        <f t="shared" si="3"/>
        <v>0.20837059560007154</v>
      </c>
    </row>
    <row r="4" spans="1:13" x14ac:dyDescent="0.5">
      <c r="A4" s="599">
        <v>2010</v>
      </c>
      <c r="B4" s="592">
        <v>72394.2</v>
      </c>
      <c r="C4" s="592">
        <v>48</v>
      </c>
      <c r="D4" s="592">
        <v>72346.2</v>
      </c>
      <c r="E4" s="592">
        <v>14416.619677419354</v>
      </c>
      <c r="F4" s="578">
        <f>'T5'!M4</f>
        <v>14465</v>
      </c>
      <c r="G4" s="578">
        <v>15799</v>
      </c>
      <c r="H4" s="592">
        <f t="shared" si="0"/>
        <v>18897.824999999997</v>
      </c>
      <c r="I4" s="594">
        <f t="shared" si="1"/>
        <v>0.26104059441225952</v>
      </c>
      <c r="J4" s="579">
        <f t="shared" si="2"/>
        <v>0.19980882446383827</v>
      </c>
      <c r="K4" s="579">
        <f t="shared" si="3"/>
        <v>0.21823571501584382</v>
      </c>
    </row>
    <row r="5" spans="1:13" x14ac:dyDescent="0.5">
      <c r="A5" s="599">
        <v>2011</v>
      </c>
      <c r="B5" s="592">
        <v>83741.649999999994</v>
      </c>
      <c r="C5" s="592">
        <v>3168</v>
      </c>
      <c r="D5" s="592">
        <v>80573.649999999994</v>
      </c>
      <c r="E5" s="592">
        <v>17776.755471698114</v>
      </c>
      <c r="F5" s="578">
        <f>'T5'!M5</f>
        <v>20946</v>
      </c>
      <c r="G5" s="578">
        <v>20645</v>
      </c>
      <c r="H5" s="592">
        <f>(((B5-50000)*0.75)+21000)/2</f>
        <v>23153.118749999998</v>
      </c>
      <c r="I5" s="594">
        <f t="shared" si="1"/>
        <v>0.27648271499307692</v>
      </c>
      <c r="J5" s="579">
        <f t="shared" si="2"/>
        <v>0.25012643051575889</v>
      </c>
      <c r="K5" s="579">
        <f t="shared" si="3"/>
        <v>0.24653204229914269</v>
      </c>
    </row>
    <row r="6" spans="1:13" x14ac:dyDescent="0.5">
      <c r="A6" s="583">
        <v>2012</v>
      </c>
      <c r="B6" s="592">
        <v>62474.7</v>
      </c>
      <c r="C6" s="592">
        <v>4175</v>
      </c>
      <c r="D6" s="578">
        <v>58299.7</v>
      </c>
      <c r="E6" s="592">
        <v>12694.675593220338</v>
      </c>
      <c r="F6" s="578">
        <f>'T5'!M6</f>
        <v>16870</v>
      </c>
      <c r="G6" s="578">
        <v>7824</v>
      </c>
      <c r="H6" s="592">
        <f t="shared" si="0"/>
        <v>15178.012499999999</v>
      </c>
      <c r="I6" s="606">
        <f t="shared" si="1"/>
        <v>0.24294654476131938</v>
      </c>
      <c r="J6" s="607">
        <f t="shared" si="2"/>
        <v>0.27002930786382329</v>
      </c>
      <c r="K6" s="579">
        <f t="shared" si="3"/>
        <v>0.12523469500453785</v>
      </c>
    </row>
    <row r="7" spans="1:13" x14ac:dyDescent="0.5">
      <c r="A7" s="583">
        <v>2013</v>
      </c>
      <c r="B7" s="592">
        <v>70492.2</v>
      </c>
      <c r="C7" s="592">
        <v>2889</v>
      </c>
      <c r="D7" s="578">
        <v>67603.199999999997</v>
      </c>
      <c r="E7" s="592">
        <v>10960.412040816325</v>
      </c>
      <c r="F7" s="578">
        <f>'T5'!M7</f>
        <v>13846</v>
      </c>
      <c r="G7" s="578">
        <v>13397</v>
      </c>
      <c r="H7" s="592">
        <f t="shared" si="0"/>
        <v>18184.574999999997</v>
      </c>
      <c r="I7" s="606">
        <f t="shared" si="1"/>
        <v>0.25796577493680151</v>
      </c>
      <c r="J7" s="579">
        <f t="shared" si="2"/>
        <v>0.19641889457273287</v>
      </c>
      <c r="K7" s="579">
        <f t="shared" si="3"/>
        <v>0.19004939553596001</v>
      </c>
    </row>
    <row r="8" spans="1:13" x14ac:dyDescent="0.5">
      <c r="A8" s="583">
        <v>2014</v>
      </c>
      <c r="B8" s="578">
        <v>86989.45</v>
      </c>
      <c r="C8" s="578">
        <v>8735</v>
      </c>
      <c r="D8" s="578">
        <v>78254.45</v>
      </c>
      <c r="E8" s="578">
        <v>12224.971351351352</v>
      </c>
      <c r="F8" s="578">
        <f>'T5'!M8</f>
        <v>20960</v>
      </c>
      <c r="G8" s="578">
        <v>19389</v>
      </c>
      <c r="H8" s="592">
        <f t="shared" si="0"/>
        <v>24371.043749999997</v>
      </c>
      <c r="I8" s="606">
        <f t="shared" si="1"/>
        <v>0.28016091319119729</v>
      </c>
      <c r="J8" s="579">
        <f t="shared" ref="J8" si="4">F8/B8</f>
        <v>0.24094875872878838</v>
      </c>
      <c r="K8" s="579">
        <f t="shared" ref="K8" si="5">G8/B8</f>
        <v>0.22288909747101518</v>
      </c>
    </row>
    <row r="9" spans="1:13" x14ac:dyDescent="0.5">
      <c r="A9" s="583">
        <v>2015</v>
      </c>
      <c r="B9" s="578">
        <v>133202.65</v>
      </c>
      <c r="C9" s="578">
        <v>6321</v>
      </c>
      <c r="D9" s="578">
        <v>126881.65</v>
      </c>
      <c r="E9" s="578">
        <v>26496.79</v>
      </c>
      <c r="F9" s="578">
        <f>'T5'!M9</f>
        <v>32819</v>
      </c>
      <c r="G9" s="578">
        <v>37763</v>
      </c>
      <c r="H9" s="592">
        <f t="shared" si="0"/>
        <v>41700.993749999994</v>
      </c>
      <c r="I9" s="606">
        <f t="shared" ref="I9" si="6">H9/B9</f>
        <v>0.31306429526739893</v>
      </c>
      <c r="J9" s="579">
        <f t="shared" ref="J9" si="7">F9/B9</f>
        <v>0.24638398710536166</v>
      </c>
      <c r="K9" s="579">
        <f>G9/B9</f>
        <v>0.28350036579602583</v>
      </c>
    </row>
    <row r="10" spans="1:13" x14ac:dyDescent="0.5">
      <c r="A10" s="583">
        <v>2016</v>
      </c>
      <c r="B10" s="578">
        <v>94442.5</v>
      </c>
      <c r="C10" s="578">
        <v>3395</v>
      </c>
      <c r="D10" s="578">
        <v>91047.5</v>
      </c>
      <c r="E10" s="578">
        <v>15293.3</v>
      </c>
      <c r="F10" s="578">
        <f>'T5'!M10</f>
        <v>19129</v>
      </c>
      <c r="G10" s="578">
        <v>20515</v>
      </c>
      <c r="H10" s="592">
        <f>(((B10-50000)*0.75)+21000)/2</f>
        <v>27165.9375</v>
      </c>
      <c r="I10" s="606">
        <f>H10/B10</f>
        <v>0.28764526034359533</v>
      </c>
      <c r="J10" s="579">
        <f>F10/B10</f>
        <v>0.20254652301665035</v>
      </c>
      <c r="K10" s="579">
        <f>G10/B10</f>
        <v>0.21722211927892632</v>
      </c>
    </row>
    <row r="11" spans="1:13" x14ac:dyDescent="0.5">
      <c r="A11" s="583">
        <v>2017</v>
      </c>
      <c r="B11" s="578">
        <v>75516.2</v>
      </c>
      <c r="C11" s="578">
        <v>7312</v>
      </c>
      <c r="D11" s="578">
        <v>68204.2</v>
      </c>
      <c r="E11" s="578">
        <v>10284.490000000002</v>
      </c>
      <c r="F11" s="578">
        <f>'T5'!M11</f>
        <v>17535.39</v>
      </c>
      <c r="G11" s="578">
        <v>16328</v>
      </c>
      <c r="H11" s="592">
        <f>(((B11-50000)*0.75)+21000)/2</f>
        <v>20068.574999999997</v>
      </c>
      <c r="I11" s="606">
        <f>H11/B11</f>
        <v>0.26575191813147375</v>
      </c>
      <c r="J11" s="579">
        <f>F11/B11</f>
        <v>0.23220699664442862</v>
      </c>
      <c r="K11" s="579">
        <f>G11/B11</f>
        <v>0.21621850675749046</v>
      </c>
    </row>
    <row r="12" spans="1:13" x14ac:dyDescent="0.5">
      <c r="A12" s="583">
        <v>2018</v>
      </c>
      <c r="B12" s="578" t="e">
        <f>C12+D12</f>
        <v>#REF!</v>
      </c>
      <c r="C12" s="578" t="e">
        <f>'T13'!#REF!</f>
        <v>#REF!</v>
      </c>
      <c r="D12" s="578">
        <v>42119.5</v>
      </c>
      <c r="E12" s="578">
        <v>6169.8099999999995</v>
      </c>
      <c r="F12" s="578">
        <f>'T5'!M12</f>
        <v>10002.248579794106</v>
      </c>
      <c r="G12" s="578">
        <v>9498</v>
      </c>
      <c r="H12" s="592" t="e">
        <f>(B12-29000)/2</f>
        <v>#REF!</v>
      </c>
      <c r="I12" s="606" t="e">
        <f>H12/B12</f>
        <v>#REF!</v>
      </c>
      <c r="J12" s="607" t="e">
        <f>F12/B12</f>
        <v>#REF!</v>
      </c>
      <c r="K12" s="607" t="e">
        <f>G12/B12</f>
        <v>#REF!</v>
      </c>
      <c r="M12" s="10"/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>
    <tabColor rgb="FF00B050"/>
  </sheetPr>
  <dimension ref="A1:R43"/>
  <sheetViews>
    <sheetView workbookViewId="0">
      <selection activeCell="L40" sqref="L40"/>
    </sheetView>
  </sheetViews>
  <sheetFormatPr defaultRowHeight="12.9" x14ac:dyDescent="0.5"/>
  <cols>
    <col min="1" max="1" width="9.1171875" style="48"/>
    <col min="2" max="4" width="9.1171875" style="49"/>
    <col min="5" max="5" width="2.52734375" style="49" customWidth="1"/>
    <col min="6" max="261" width="9.1171875" style="49"/>
    <col min="262" max="262" width="2.52734375" style="49" customWidth="1"/>
    <col min="263" max="517" width="9.1171875" style="49"/>
    <col min="518" max="518" width="2.52734375" style="49" customWidth="1"/>
    <col min="519" max="773" width="9.1171875" style="49"/>
    <col min="774" max="774" width="2.52734375" style="49" customWidth="1"/>
    <col min="775" max="1029" width="9.1171875" style="49"/>
    <col min="1030" max="1030" width="2.52734375" style="49" customWidth="1"/>
    <col min="1031" max="1285" width="9.1171875" style="49"/>
    <col min="1286" max="1286" width="2.52734375" style="49" customWidth="1"/>
    <col min="1287" max="1541" width="9.1171875" style="49"/>
    <col min="1542" max="1542" width="2.52734375" style="49" customWidth="1"/>
    <col min="1543" max="1797" width="9.1171875" style="49"/>
    <col min="1798" max="1798" width="2.52734375" style="49" customWidth="1"/>
    <col min="1799" max="2053" width="9.1171875" style="49"/>
    <col min="2054" max="2054" width="2.52734375" style="49" customWidth="1"/>
    <col min="2055" max="2309" width="9.1171875" style="49"/>
    <col min="2310" max="2310" width="2.52734375" style="49" customWidth="1"/>
    <col min="2311" max="2565" width="9.1171875" style="49"/>
    <col min="2566" max="2566" width="2.52734375" style="49" customWidth="1"/>
    <col min="2567" max="2821" width="9.1171875" style="49"/>
    <col min="2822" max="2822" width="2.52734375" style="49" customWidth="1"/>
    <col min="2823" max="3077" width="9.1171875" style="49"/>
    <col min="3078" max="3078" width="2.52734375" style="49" customWidth="1"/>
    <col min="3079" max="3333" width="9.1171875" style="49"/>
    <col min="3334" max="3334" width="2.52734375" style="49" customWidth="1"/>
    <col min="3335" max="3589" width="9.1171875" style="49"/>
    <col min="3590" max="3590" width="2.52734375" style="49" customWidth="1"/>
    <col min="3591" max="3845" width="9.1171875" style="49"/>
    <col min="3846" max="3846" width="2.52734375" style="49" customWidth="1"/>
    <col min="3847" max="4101" width="9.1171875" style="49"/>
    <col min="4102" max="4102" width="2.52734375" style="49" customWidth="1"/>
    <col min="4103" max="4357" width="9.1171875" style="49"/>
    <col min="4358" max="4358" width="2.52734375" style="49" customWidth="1"/>
    <col min="4359" max="4613" width="9.1171875" style="49"/>
    <col min="4614" max="4614" width="2.52734375" style="49" customWidth="1"/>
    <col min="4615" max="4869" width="9.1171875" style="49"/>
    <col min="4870" max="4870" width="2.52734375" style="49" customWidth="1"/>
    <col min="4871" max="5125" width="9.1171875" style="49"/>
    <col min="5126" max="5126" width="2.52734375" style="49" customWidth="1"/>
    <col min="5127" max="5381" width="9.1171875" style="49"/>
    <col min="5382" max="5382" width="2.52734375" style="49" customWidth="1"/>
    <col min="5383" max="5637" width="9.1171875" style="49"/>
    <col min="5638" max="5638" width="2.52734375" style="49" customWidth="1"/>
    <col min="5639" max="5893" width="9.1171875" style="49"/>
    <col min="5894" max="5894" width="2.52734375" style="49" customWidth="1"/>
    <col min="5895" max="6149" width="9.1171875" style="49"/>
    <col min="6150" max="6150" width="2.52734375" style="49" customWidth="1"/>
    <col min="6151" max="6405" width="9.1171875" style="49"/>
    <col min="6406" max="6406" width="2.52734375" style="49" customWidth="1"/>
    <col min="6407" max="6661" width="9.1171875" style="49"/>
    <col min="6662" max="6662" width="2.52734375" style="49" customWidth="1"/>
    <col min="6663" max="6917" width="9.1171875" style="49"/>
    <col min="6918" max="6918" width="2.52734375" style="49" customWidth="1"/>
    <col min="6919" max="7173" width="9.1171875" style="49"/>
    <col min="7174" max="7174" width="2.52734375" style="49" customWidth="1"/>
    <col min="7175" max="7429" width="9.1171875" style="49"/>
    <col min="7430" max="7430" width="2.52734375" style="49" customWidth="1"/>
    <col min="7431" max="7685" width="9.1171875" style="49"/>
    <col min="7686" max="7686" width="2.52734375" style="49" customWidth="1"/>
    <col min="7687" max="7941" width="9.1171875" style="49"/>
    <col min="7942" max="7942" width="2.52734375" style="49" customWidth="1"/>
    <col min="7943" max="8197" width="9.1171875" style="49"/>
    <col min="8198" max="8198" width="2.52734375" style="49" customWidth="1"/>
    <col min="8199" max="8453" width="9.1171875" style="49"/>
    <col min="8454" max="8454" width="2.52734375" style="49" customWidth="1"/>
    <col min="8455" max="8709" width="9.1171875" style="49"/>
    <col min="8710" max="8710" width="2.52734375" style="49" customWidth="1"/>
    <col min="8711" max="8965" width="9.1171875" style="49"/>
    <col min="8966" max="8966" width="2.52734375" style="49" customWidth="1"/>
    <col min="8967" max="9221" width="9.1171875" style="49"/>
    <col min="9222" max="9222" width="2.52734375" style="49" customWidth="1"/>
    <col min="9223" max="9477" width="9.1171875" style="49"/>
    <col min="9478" max="9478" width="2.52734375" style="49" customWidth="1"/>
    <col min="9479" max="9733" width="9.1171875" style="49"/>
    <col min="9734" max="9734" width="2.52734375" style="49" customWidth="1"/>
    <col min="9735" max="9989" width="9.1171875" style="49"/>
    <col min="9990" max="9990" width="2.52734375" style="49" customWidth="1"/>
    <col min="9991" max="10245" width="9.1171875" style="49"/>
    <col min="10246" max="10246" width="2.52734375" style="49" customWidth="1"/>
    <col min="10247" max="10501" width="9.1171875" style="49"/>
    <col min="10502" max="10502" width="2.52734375" style="49" customWidth="1"/>
    <col min="10503" max="10757" width="9.1171875" style="49"/>
    <col min="10758" max="10758" width="2.52734375" style="49" customWidth="1"/>
    <col min="10759" max="11013" width="9.1171875" style="49"/>
    <col min="11014" max="11014" width="2.52734375" style="49" customWidth="1"/>
    <col min="11015" max="11269" width="9.1171875" style="49"/>
    <col min="11270" max="11270" width="2.52734375" style="49" customWidth="1"/>
    <col min="11271" max="11525" width="9.1171875" style="49"/>
    <col min="11526" max="11526" width="2.52734375" style="49" customWidth="1"/>
    <col min="11527" max="11781" width="9.1171875" style="49"/>
    <col min="11782" max="11782" width="2.52734375" style="49" customWidth="1"/>
    <col min="11783" max="12037" width="9.1171875" style="49"/>
    <col min="12038" max="12038" width="2.52734375" style="49" customWidth="1"/>
    <col min="12039" max="12293" width="9.1171875" style="49"/>
    <col min="12294" max="12294" width="2.52734375" style="49" customWidth="1"/>
    <col min="12295" max="12549" width="9.1171875" style="49"/>
    <col min="12550" max="12550" width="2.52734375" style="49" customWidth="1"/>
    <col min="12551" max="12805" width="9.1171875" style="49"/>
    <col min="12806" max="12806" width="2.52734375" style="49" customWidth="1"/>
    <col min="12807" max="13061" width="9.1171875" style="49"/>
    <col min="13062" max="13062" width="2.52734375" style="49" customWidth="1"/>
    <col min="13063" max="13317" width="9.1171875" style="49"/>
    <col min="13318" max="13318" width="2.52734375" style="49" customWidth="1"/>
    <col min="13319" max="13573" width="9.1171875" style="49"/>
    <col min="13574" max="13574" width="2.52734375" style="49" customWidth="1"/>
    <col min="13575" max="13829" width="9.1171875" style="49"/>
    <col min="13830" max="13830" width="2.52734375" style="49" customWidth="1"/>
    <col min="13831" max="14085" width="9.1171875" style="49"/>
    <col min="14086" max="14086" width="2.52734375" style="49" customWidth="1"/>
    <col min="14087" max="14341" width="9.1171875" style="49"/>
    <col min="14342" max="14342" width="2.52734375" style="49" customWidth="1"/>
    <col min="14343" max="14597" width="9.1171875" style="49"/>
    <col min="14598" max="14598" width="2.52734375" style="49" customWidth="1"/>
    <col min="14599" max="14853" width="9.1171875" style="49"/>
    <col min="14854" max="14854" width="2.52734375" style="49" customWidth="1"/>
    <col min="14855" max="15109" width="9.1171875" style="49"/>
    <col min="15110" max="15110" width="2.52734375" style="49" customWidth="1"/>
    <col min="15111" max="15365" width="9.1171875" style="49"/>
    <col min="15366" max="15366" width="2.52734375" style="49" customWidth="1"/>
    <col min="15367" max="15621" width="9.1171875" style="49"/>
    <col min="15622" max="15622" width="2.52734375" style="49" customWidth="1"/>
    <col min="15623" max="15877" width="9.1171875" style="49"/>
    <col min="15878" max="15878" width="2.52734375" style="49" customWidth="1"/>
    <col min="15879" max="16133" width="9.1171875" style="49"/>
    <col min="16134" max="16134" width="2.52734375" style="49" customWidth="1"/>
    <col min="16135" max="16384" width="9.1171875" style="49"/>
  </cols>
  <sheetData>
    <row r="1" spans="1:16" x14ac:dyDescent="0.5">
      <c r="B1" s="49" t="s">
        <v>480</v>
      </c>
      <c r="G1" s="49" t="s">
        <v>481</v>
      </c>
      <c r="I1" s="50"/>
      <c r="K1" s="49" t="s">
        <v>482</v>
      </c>
    </row>
    <row r="4" spans="1:16" x14ac:dyDescent="0.5">
      <c r="B4" s="790" t="s">
        <v>483</v>
      </c>
      <c r="C4" s="790"/>
      <c r="D4" s="790"/>
      <c r="F4" s="791" t="s">
        <v>484</v>
      </c>
      <c r="G4" s="792"/>
      <c r="H4" s="792"/>
      <c r="I4" s="792"/>
      <c r="J4" s="792"/>
      <c r="K4" s="793"/>
      <c r="L4" s="791" t="s">
        <v>485</v>
      </c>
      <c r="M4" s="792"/>
      <c r="N4" s="792"/>
      <c r="O4" s="793"/>
      <c r="P4" s="71"/>
    </row>
    <row r="5" spans="1:16" ht="25.8" x14ac:dyDescent="0.5">
      <c r="B5" s="51" t="s">
        <v>486</v>
      </c>
      <c r="C5" s="51" t="s">
        <v>487</v>
      </c>
      <c r="D5" s="51" t="s">
        <v>488</v>
      </c>
      <c r="F5" s="52" t="s">
        <v>489</v>
      </c>
      <c r="G5" s="52" t="s">
        <v>490</v>
      </c>
      <c r="H5" s="52" t="s">
        <v>491</v>
      </c>
      <c r="I5" s="52" t="s">
        <v>492</v>
      </c>
      <c r="J5" s="52" t="s">
        <v>493</v>
      </c>
      <c r="K5" s="53" t="s">
        <v>494</v>
      </c>
      <c r="L5" s="54" t="s">
        <v>495</v>
      </c>
      <c r="M5" s="54" t="s">
        <v>496</v>
      </c>
      <c r="N5" s="54" t="s">
        <v>497</v>
      </c>
      <c r="O5" s="54" t="s">
        <v>498</v>
      </c>
      <c r="P5" s="72" t="s">
        <v>499</v>
      </c>
    </row>
    <row r="6" spans="1:16" x14ac:dyDescent="0.5">
      <c r="A6" s="55" t="s">
        <v>372</v>
      </c>
      <c r="B6" s="56">
        <f>ROUND(AVERAGE(B10:B29),-2)</f>
        <v>3100</v>
      </c>
      <c r="C6" s="56">
        <f>ROUND(AVERAGE(C10:C29),-2)</f>
        <v>1500</v>
      </c>
      <c r="D6" s="56">
        <f>ROUND(AVERAGE(D10:D29),-2)</f>
        <v>1600</v>
      </c>
      <c r="E6" s="56"/>
      <c r="F6" s="56">
        <f t="shared" ref="F6:O6" si="0">ROUND(AVERAGE(F10:F29),-2)</f>
        <v>300</v>
      </c>
      <c r="G6" s="56">
        <f t="shared" si="0"/>
        <v>300</v>
      </c>
      <c r="H6" s="56">
        <f t="shared" si="0"/>
        <v>100</v>
      </c>
      <c r="I6" s="56">
        <f t="shared" si="0"/>
        <v>200</v>
      </c>
      <c r="J6" s="56">
        <f t="shared" si="0"/>
        <v>100</v>
      </c>
      <c r="K6" s="57">
        <f t="shared" si="0"/>
        <v>500</v>
      </c>
      <c r="L6" s="56">
        <f t="shared" si="0"/>
        <v>400</v>
      </c>
      <c r="M6" s="56">
        <f t="shared" si="0"/>
        <v>200</v>
      </c>
      <c r="N6" s="56">
        <f t="shared" si="0"/>
        <v>100</v>
      </c>
      <c r="O6" s="56">
        <f t="shared" si="0"/>
        <v>200</v>
      </c>
      <c r="P6" s="56"/>
    </row>
    <row r="7" spans="1:16" x14ac:dyDescent="0.5">
      <c r="K7" s="58"/>
      <c r="L7" s="50"/>
    </row>
    <row r="8" spans="1:16" x14ac:dyDescent="0.5">
      <c r="A8" s="48">
        <v>1986</v>
      </c>
      <c r="B8" s="59"/>
      <c r="C8" s="59"/>
      <c r="D8" s="59"/>
      <c r="E8" s="59"/>
      <c r="F8" s="59"/>
      <c r="G8" s="59"/>
      <c r="H8" s="59"/>
      <c r="I8" s="59"/>
      <c r="J8" s="59"/>
      <c r="K8" s="60"/>
      <c r="L8" s="61"/>
      <c r="M8" s="59"/>
      <c r="N8" s="59"/>
      <c r="O8" s="59"/>
      <c r="P8" s="59"/>
    </row>
    <row r="9" spans="1:16" x14ac:dyDescent="0.5">
      <c r="A9" s="48">
        <v>1987</v>
      </c>
      <c r="B9" s="59"/>
      <c r="C9" s="59"/>
      <c r="D9" s="59"/>
      <c r="E9" s="59"/>
      <c r="F9" s="59"/>
      <c r="G9" s="59"/>
      <c r="H9" s="59"/>
      <c r="I9" s="59"/>
      <c r="J9" s="59"/>
      <c r="K9" s="60"/>
      <c r="L9" s="461">
        <v>475</v>
      </c>
      <c r="M9" s="460">
        <v>390</v>
      </c>
      <c r="N9" s="460">
        <v>37</v>
      </c>
      <c r="O9" s="460">
        <v>175</v>
      </c>
      <c r="P9" s="460">
        <v>1392</v>
      </c>
    </row>
    <row r="10" spans="1:16" x14ac:dyDescent="0.5">
      <c r="A10" s="48">
        <v>1988</v>
      </c>
      <c r="B10" s="59">
        <f>SUM(C10:D10)</f>
        <v>5785</v>
      </c>
      <c r="C10" s="59">
        <f>SUM(F10:K10)</f>
        <v>2019</v>
      </c>
      <c r="D10" s="59">
        <f>SUM(L10:P10)</f>
        <v>3766</v>
      </c>
      <c r="E10" s="59"/>
      <c r="F10" s="337">
        <v>525</v>
      </c>
      <c r="G10" s="337">
        <v>167</v>
      </c>
      <c r="H10" s="337">
        <v>178</v>
      </c>
      <c r="I10" s="337">
        <v>532</v>
      </c>
      <c r="J10" s="337">
        <v>41</v>
      </c>
      <c r="K10" s="337">
        <v>576</v>
      </c>
      <c r="L10" s="461">
        <v>1160</v>
      </c>
      <c r="M10" s="460">
        <v>565</v>
      </c>
      <c r="N10" s="460">
        <v>303</v>
      </c>
      <c r="O10" s="460">
        <v>492</v>
      </c>
      <c r="P10" s="460">
        <v>1246</v>
      </c>
    </row>
    <row r="11" spans="1:16" x14ac:dyDescent="0.5">
      <c r="A11" s="48">
        <v>1989</v>
      </c>
      <c r="B11" s="59">
        <f t="shared" ref="B11:B34" si="1">SUM(C11:D11)</f>
        <v>1562</v>
      </c>
      <c r="C11" s="59">
        <f t="shared" ref="C11:C34" si="2">SUM(F11:K11)</f>
        <v>751</v>
      </c>
      <c r="D11" s="59">
        <f t="shared" ref="D11:D39" si="3">SUM(L11:P11)</f>
        <v>811</v>
      </c>
      <c r="E11" s="59"/>
      <c r="F11" s="337">
        <v>308</v>
      </c>
      <c r="G11" s="337">
        <v>46</v>
      </c>
      <c r="H11" s="337">
        <v>80</v>
      </c>
      <c r="I11" s="337">
        <v>64</v>
      </c>
      <c r="J11" s="337">
        <v>0</v>
      </c>
      <c r="K11" s="337">
        <v>253</v>
      </c>
      <c r="L11" s="461">
        <v>94</v>
      </c>
      <c r="M11" s="460">
        <v>115</v>
      </c>
      <c r="N11" s="460">
        <v>21</v>
      </c>
      <c r="O11" s="460">
        <v>146</v>
      </c>
      <c r="P11" s="460">
        <v>435</v>
      </c>
    </row>
    <row r="12" spans="1:16" x14ac:dyDescent="0.5">
      <c r="A12" s="48">
        <v>1990</v>
      </c>
      <c r="B12" s="59">
        <f t="shared" si="1"/>
        <v>1857</v>
      </c>
      <c r="C12" s="59">
        <f t="shared" si="2"/>
        <v>596</v>
      </c>
      <c r="D12" s="59">
        <f t="shared" si="3"/>
        <v>1261</v>
      </c>
      <c r="E12" s="59"/>
      <c r="F12" s="337">
        <v>231</v>
      </c>
      <c r="G12" s="337">
        <v>67</v>
      </c>
      <c r="H12" s="337">
        <v>0</v>
      </c>
      <c r="I12" s="337">
        <v>57</v>
      </c>
      <c r="J12" s="337">
        <v>53</v>
      </c>
      <c r="K12" s="337">
        <v>188</v>
      </c>
      <c r="L12" s="461">
        <v>196</v>
      </c>
      <c r="M12" s="460">
        <v>148</v>
      </c>
      <c r="N12" s="460">
        <v>86</v>
      </c>
      <c r="O12" s="460">
        <v>97</v>
      </c>
      <c r="P12" s="460">
        <v>734</v>
      </c>
    </row>
    <row r="13" spans="1:16" x14ac:dyDescent="0.5">
      <c r="A13" s="48">
        <v>1991</v>
      </c>
      <c r="B13" s="59">
        <f t="shared" si="1"/>
        <v>1910</v>
      </c>
      <c r="C13" s="59">
        <f t="shared" si="2"/>
        <v>628</v>
      </c>
      <c r="D13" s="59">
        <f t="shared" si="3"/>
        <v>1282</v>
      </c>
      <c r="E13" s="59"/>
      <c r="F13" s="337">
        <v>238</v>
      </c>
      <c r="G13" s="337">
        <v>67</v>
      </c>
      <c r="H13" s="337">
        <v>8</v>
      </c>
      <c r="I13" s="337">
        <v>106</v>
      </c>
      <c r="J13" s="337">
        <v>26</v>
      </c>
      <c r="K13" s="337">
        <v>183</v>
      </c>
      <c r="L13" s="461">
        <v>191</v>
      </c>
      <c r="M13" s="460">
        <v>104</v>
      </c>
      <c r="N13" s="460">
        <v>108</v>
      </c>
      <c r="O13" s="460">
        <v>63</v>
      </c>
      <c r="P13" s="460">
        <v>816</v>
      </c>
    </row>
    <row r="14" spans="1:16" x14ac:dyDescent="0.5">
      <c r="A14" s="48">
        <v>1992</v>
      </c>
      <c r="B14" s="59">
        <f t="shared" si="1"/>
        <v>1517</v>
      </c>
      <c r="C14" s="59">
        <f t="shared" si="2"/>
        <v>455</v>
      </c>
      <c r="D14" s="59">
        <f t="shared" si="3"/>
        <v>1062</v>
      </c>
      <c r="E14" s="59"/>
      <c r="F14" s="337">
        <v>37</v>
      </c>
      <c r="G14" s="337">
        <v>52</v>
      </c>
      <c r="H14" s="337">
        <v>45</v>
      </c>
      <c r="I14" s="337">
        <v>49</v>
      </c>
      <c r="J14" s="337">
        <v>81</v>
      </c>
      <c r="K14" s="337">
        <v>191</v>
      </c>
      <c r="L14" s="461">
        <v>185</v>
      </c>
      <c r="M14" s="460">
        <v>169</v>
      </c>
      <c r="N14" s="460">
        <v>10</v>
      </c>
      <c r="O14" s="460">
        <v>107</v>
      </c>
      <c r="P14" s="460">
        <v>591</v>
      </c>
    </row>
    <row r="15" spans="1:16" x14ac:dyDescent="0.5">
      <c r="A15" s="48">
        <v>1993</v>
      </c>
      <c r="B15" s="59">
        <f t="shared" si="1"/>
        <v>3960</v>
      </c>
      <c r="C15" s="59">
        <f t="shared" si="2"/>
        <v>1270</v>
      </c>
      <c r="D15" s="59">
        <f t="shared" si="3"/>
        <v>2690</v>
      </c>
      <c r="E15" s="59"/>
      <c r="F15" s="337">
        <v>232</v>
      </c>
      <c r="G15" s="337">
        <v>180</v>
      </c>
      <c r="H15" s="337">
        <v>110</v>
      </c>
      <c r="I15" s="337">
        <v>246</v>
      </c>
      <c r="J15" s="337">
        <v>76</v>
      </c>
      <c r="K15" s="337">
        <v>426</v>
      </c>
      <c r="L15" s="461">
        <v>738</v>
      </c>
      <c r="M15" s="460">
        <v>328</v>
      </c>
      <c r="N15" s="460">
        <v>132</v>
      </c>
      <c r="O15" s="460">
        <v>273</v>
      </c>
      <c r="P15" s="460">
        <v>1219</v>
      </c>
    </row>
    <row r="16" spans="1:16" x14ac:dyDescent="0.5">
      <c r="A16" s="48">
        <v>1994</v>
      </c>
      <c r="B16" s="59">
        <f t="shared" si="1"/>
        <v>672</v>
      </c>
      <c r="C16" s="59">
        <f t="shared" si="2"/>
        <v>244</v>
      </c>
      <c r="D16" s="59">
        <f t="shared" si="3"/>
        <v>428</v>
      </c>
      <c r="E16" s="59"/>
      <c r="F16" s="337">
        <v>30</v>
      </c>
      <c r="G16" s="337">
        <v>29</v>
      </c>
      <c r="H16" s="337">
        <v>15</v>
      </c>
      <c r="I16" s="337">
        <v>50</v>
      </c>
      <c r="J16" s="337">
        <v>4</v>
      </c>
      <c r="K16" s="337">
        <v>116</v>
      </c>
      <c r="L16" s="461">
        <v>34</v>
      </c>
      <c r="M16" s="460">
        <v>13</v>
      </c>
      <c r="N16" s="460">
        <v>0</v>
      </c>
      <c r="O16" s="460">
        <v>14</v>
      </c>
      <c r="P16" s="460">
        <v>367</v>
      </c>
    </row>
    <row r="17" spans="1:16" x14ac:dyDescent="0.5">
      <c r="A17" s="48">
        <v>1995</v>
      </c>
      <c r="B17" s="59">
        <f t="shared" si="1"/>
        <v>441</v>
      </c>
      <c r="C17" s="59">
        <f t="shared" si="2"/>
        <v>290</v>
      </c>
      <c r="D17" s="59">
        <f t="shared" si="3"/>
        <v>151</v>
      </c>
      <c r="E17" s="59"/>
      <c r="F17" s="337">
        <v>62</v>
      </c>
      <c r="G17" s="337">
        <v>48</v>
      </c>
      <c r="H17" s="337">
        <v>37</v>
      </c>
      <c r="I17" s="337">
        <v>37</v>
      </c>
      <c r="J17" s="337">
        <v>20</v>
      </c>
      <c r="K17" s="337">
        <v>86</v>
      </c>
      <c r="L17" s="461">
        <v>17</v>
      </c>
      <c r="M17" s="460">
        <v>0</v>
      </c>
      <c r="N17" s="460">
        <v>2</v>
      </c>
      <c r="O17" s="460">
        <v>9</v>
      </c>
      <c r="P17" s="460">
        <v>123</v>
      </c>
    </row>
    <row r="18" spans="1:16" x14ac:dyDescent="0.5">
      <c r="A18" s="48">
        <v>1996</v>
      </c>
      <c r="B18" s="59">
        <f t="shared" si="1"/>
        <v>1522</v>
      </c>
      <c r="C18" s="59">
        <f t="shared" si="2"/>
        <v>1132</v>
      </c>
      <c r="D18" s="59">
        <f t="shared" si="3"/>
        <v>390</v>
      </c>
      <c r="E18" s="59"/>
      <c r="F18" s="337">
        <v>285</v>
      </c>
      <c r="G18" s="337">
        <v>401</v>
      </c>
      <c r="H18" s="337">
        <v>38</v>
      </c>
      <c r="I18" s="337">
        <v>85</v>
      </c>
      <c r="J18" s="337">
        <v>68</v>
      </c>
      <c r="K18" s="337">
        <v>255</v>
      </c>
      <c r="L18" s="461">
        <v>60</v>
      </c>
      <c r="M18" s="460">
        <v>26</v>
      </c>
      <c r="N18" s="460">
        <v>28</v>
      </c>
      <c r="O18" s="460">
        <v>4</v>
      </c>
      <c r="P18" s="460">
        <v>272</v>
      </c>
    </row>
    <row r="19" spans="1:16" x14ac:dyDescent="0.5">
      <c r="A19" s="48">
        <v>1997</v>
      </c>
      <c r="B19" s="59">
        <f t="shared" si="1"/>
        <v>1972.9970839351627</v>
      </c>
      <c r="C19" s="59">
        <f t="shared" si="2"/>
        <v>949.99708393516266</v>
      </c>
      <c r="D19" s="59">
        <f t="shared" si="3"/>
        <v>1023</v>
      </c>
      <c r="E19" s="59"/>
      <c r="F19" s="337">
        <v>180.1162105263158</v>
      </c>
      <c r="G19" s="337">
        <v>271.88087340884681</v>
      </c>
      <c r="H19" s="337">
        <v>82</v>
      </c>
      <c r="I19" s="337">
        <v>130</v>
      </c>
      <c r="J19" s="337">
        <v>68</v>
      </c>
      <c r="K19" s="337">
        <v>218</v>
      </c>
      <c r="L19" s="461">
        <v>234</v>
      </c>
      <c r="M19" s="460">
        <v>161</v>
      </c>
      <c r="N19" s="460">
        <v>36</v>
      </c>
      <c r="O19" s="460">
        <v>160</v>
      </c>
      <c r="P19" s="460">
        <v>432</v>
      </c>
    </row>
    <row r="20" spans="1:16" x14ac:dyDescent="0.5">
      <c r="A20" s="48">
        <v>1998</v>
      </c>
      <c r="B20" s="59">
        <f t="shared" si="1"/>
        <v>2567.2799999999997</v>
      </c>
      <c r="C20" s="59">
        <f t="shared" si="2"/>
        <v>1078.28</v>
      </c>
      <c r="D20" s="59">
        <f t="shared" si="3"/>
        <v>1489</v>
      </c>
      <c r="E20" s="59"/>
      <c r="F20" s="337">
        <v>209.28000000000003</v>
      </c>
      <c r="G20" s="337">
        <v>253</v>
      </c>
      <c r="H20" s="337">
        <v>101</v>
      </c>
      <c r="I20" s="337">
        <v>156</v>
      </c>
      <c r="J20" s="337">
        <v>92</v>
      </c>
      <c r="K20" s="337">
        <v>267</v>
      </c>
      <c r="L20" s="461">
        <v>391</v>
      </c>
      <c r="M20" s="460">
        <v>229</v>
      </c>
      <c r="N20" s="460">
        <v>101</v>
      </c>
      <c r="O20" s="460">
        <v>73</v>
      </c>
      <c r="P20" s="460">
        <v>695</v>
      </c>
    </row>
    <row r="21" spans="1:16" x14ac:dyDescent="0.5">
      <c r="A21" s="48">
        <v>1999</v>
      </c>
      <c r="B21" s="59">
        <f t="shared" si="1"/>
        <v>1415.0190476190476</v>
      </c>
      <c r="C21" s="59">
        <f t="shared" si="2"/>
        <v>801.01904761904757</v>
      </c>
      <c r="D21" s="59">
        <f t="shared" si="3"/>
        <v>614</v>
      </c>
      <c r="E21" s="59"/>
      <c r="F21" s="337">
        <v>142.01904761904763</v>
      </c>
      <c r="G21" s="337">
        <v>71</v>
      </c>
      <c r="H21" s="337">
        <v>88</v>
      </c>
      <c r="I21" s="337">
        <v>68</v>
      </c>
      <c r="J21" s="337">
        <v>4</v>
      </c>
      <c r="K21" s="337">
        <v>428</v>
      </c>
      <c r="L21" s="461">
        <v>81</v>
      </c>
      <c r="M21" s="460">
        <v>0</v>
      </c>
      <c r="N21" s="460">
        <v>0</v>
      </c>
      <c r="O21" s="460">
        <v>48</v>
      </c>
      <c r="P21" s="460">
        <v>485</v>
      </c>
    </row>
    <row r="22" spans="1:16" x14ac:dyDescent="0.5">
      <c r="A22" s="48">
        <v>2000</v>
      </c>
      <c r="B22" s="59">
        <f t="shared" si="1"/>
        <v>2781.13417721519</v>
      </c>
      <c r="C22" s="59">
        <f t="shared" si="2"/>
        <v>1680.13417721519</v>
      </c>
      <c r="D22" s="59">
        <f t="shared" si="3"/>
        <v>1101</v>
      </c>
      <c r="E22" s="59"/>
      <c r="F22" s="337">
        <v>449.13417721518988</v>
      </c>
      <c r="G22" s="337">
        <v>458</v>
      </c>
      <c r="H22" s="337">
        <v>55</v>
      </c>
      <c r="I22" s="337">
        <v>223</v>
      </c>
      <c r="J22" s="337">
        <v>53</v>
      </c>
      <c r="K22" s="337">
        <v>442</v>
      </c>
      <c r="L22" s="461">
        <v>325</v>
      </c>
      <c r="M22" s="460">
        <v>94</v>
      </c>
      <c r="N22" s="460">
        <v>10</v>
      </c>
      <c r="O22" s="460">
        <v>63</v>
      </c>
      <c r="P22" s="460">
        <v>609</v>
      </c>
    </row>
    <row r="23" spans="1:16" x14ac:dyDescent="0.5">
      <c r="A23" s="48">
        <v>2001</v>
      </c>
      <c r="B23" s="59">
        <f t="shared" si="1"/>
        <v>7685.4296015180262</v>
      </c>
      <c r="C23" s="59">
        <f t="shared" si="2"/>
        <v>4685.4296015180262</v>
      </c>
      <c r="D23" s="59">
        <f t="shared" si="3"/>
        <v>3000</v>
      </c>
      <c r="E23" s="59"/>
      <c r="F23" s="337">
        <v>572.42960151802663</v>
      </c>
      <c r="G23" s="337">
        <v>767</v>
      </c>
      <c r="H23" s="337">
        <v>410</v>
      </c>
      <c r="I23" s="337">
        <v>484</v>
      </c>
      <c r="J23" s="337">
        <v>77</v>
      </c>
      <c r="K23" s="337">
        <v>2375</v>
      </c>
      <c r="L23" s="461">
        <v>740</v>
      </c>
      <c r="M23" s="460">
        <v>508</v>
      </c>
      <c r="N23" s="460">
        <v>86</v>
      </c>
      <c r="O23" s="460">
        <v>682</v>
      </c>
      <c r="P23" s="460">
        <v>984</v>
      </c>
    </row>
    <row r="24" spans="1:16" x14ac:dyDescent="0.5">
      <c r="A24" s="48">
        <v>2002</v>
      </c>
      <c r="B24" s="59">
        <f t="shared" si="1"/>
        <v>6722.5636363636368</v>
      </c>
      <c r="C24" s="59">
        <f t="shared" si="2"/>
        <v>3424.5636363636363</v>
      </c>
      <c r="D24" s="59">
        <f t="shared" si="3"/>
        <v>3298</v>
      </c>
      <c r="E24" s="59"/>
      <c r="F24" s="337">
        <v>663.56363636363642</v>
      </c>
      <c r="G24" s="337">
        <v>685</v>
      </c>
      <c r="H24" s="337">
        <v>252</v>
      </c>
      <c r="I24" s="337">
        <v>358</v>
      </c>
      <c r="J24" s="337">
        <v>107</v>
      </c>
      <c r="K24" s="337">
        <v>1359</v>
      </c>
      <c r="L24" s="461">
        <v>1177</v>
      </c>
      <c r="M24" s="460">
        <v>484</v>
      </c>
      <c r="N24" s="460">
        <v>201</v>
      </c>
      <c r="O24" s="460">
        <v>551</v>
      </c>
      <c r="P24" s="460">
        <v>885</v>
      </c>
    </row>
    <row r="25" spans="1:16" x14ac:dyDescent="0.5">
      <c r="A25" s="48">
        <v>2003</v>
      </c>
      <c r="B25" s="59">
        <f t="shared" si="1"/>
        <v>8130.8022222222226</v>
      </c>
      <c r="C25" s="59">
        <f t="shared" si="2"/>
        <v>3518.8022222222226</v>
      </c>
      <c r="D25" s="59">
        <f t="shared" si="3"/>
        <v>4612</v>
      </c>
      <c r="E25" s="59"/>
      <c r="F25" s="337">
        <v>550.80222222222233</v>
      </c>
      <c r="G25" s="337">
        <v>541</v>
      </c>
      <c r="H25" s="337">
        <v>252</v>
      </c>
      <c r="I25" s="337">
        <v>368</v>
      </c>
      <c r="J25" s="337">
        <v>230</v>
      </c>
      <c r="K25" s="337">
        <v>1577</v>
      </c>
      <c r="L25" s="461">
        <v>1315</v>
      </c>
      <c r="M25" s="460">
        <v>872</v>
      </c>
      <c r="N25" s="460">
        <v>190</v>
      </c>
      <c r="O25" s="460">
        <v>438</v>
      </c>
      <c r="P25" s="460">
        <v>1797</v>
      </c>
    </row>
    <row r="26" spans="1:16" x14ac:dyDescent="0.5">
      <c r="A26" s="48">
        <v>2004</v>
      </c>
      <c r="B26" s="59">
        <f t="shared" si="1"/>
        <v>3539.8</v>
      </c>
      <c r="C26" s="59">
        <f t="shared" si="2"/>
        <v>1975.8</v>
      </c>
      <c r="D26" s="59">
        <f t="shared" si="3"/>
        <v>1564</v>
      </c>
      <c r="E26" s="59"/>
      <c r="F26" s="337">
        <v>492.8</v>
      </c>
      <c r="G26" s="337">
        <v>665</v>
      </c>
      <c r="H26" s="337">
        <v>53</v>
      </c>
      <c r="I26" s="337">
        <v>197</v>
      </c>
      <c r="J26" s="337">
        <v>43</v>
      </c>
      <c r="K26" s="337">
        <v>525</v>
      </c>
      <c r="L26" s="461">
        <v>342</v>
      </c>
      <c r="M26" s="460">
        <v>94</v>
      </c>
      <c r="N26" s="460">
        <v>15</v>
      </c>
      <c r="O26" s="460">
        <v>243</v>
      </c>
      <c r="P26" s="460">
        <v>870</v>
      </c>
    </row>
    <row r="27" spans="1:16" x14ac:dyDescent="0.5">
      <c r="A27" s="48">
        <v>2005</v>
      </c>
      <c r="B27" s="59">
        <f t="shared" si="1"/>
        <v>2371.0615384615385</v>
      </c>
      <c r="C27" s="59">
        <f t="shared" si="2"/>
        <v>1353.0615384615385</v>
      </c>
      <c r="D27" s="59">
        <f t="shared" si="3"/>
        <v>1018</v>
      </c>
      <c r="E27" s="59"/>
      <c r="F27" s="337">
        <v>348.06153846153848</v>
      </c>
      <c r="G27" s="337">
        <v>463</v>
      </c>
      <c r="H27" s="337">
        <v>46</v>
      </c>
      <c r="I27" s="337">
        <v>146</v>
      </c>
      <c r="J27" s="337">
        <v>22</v>
      </c>
      <c r="K27" s="337">
        <v>328</v>
      </c>
      <c r="L27" s="461">
        <v>306</v>
      </c>
      <c r="M27" s="460">
        <v>65</v>
      </c>
      <c r="N27" s="460">
        <v>28</v>
      </c>
      <c r="O27" s="460">
        <v>68</v>
      </c>
      <c r="P27" s="460">
        <v>551</v>
      </c>
    </row>
    <row r="28" spans="1:16" x14ac:dyDescent="0.5">
      <c r="A28" s="48">
        <v>2006</v>
      </c>
      <c r="B28" s="59">
        <f t="shared" si="1"/>
        <v>2458</v>
      </c>
      <c r="C28" s="59">
        <f t="shared" si="2"/>
        <v>1450</v>
      </c>
      <c r="D28" s="59">
        <f t="shared" si="3"/>
        <v>1008</v>
      </c>
      <c r="E28" s="59"/>
      <c r="F28" s="337">
        <v>448</v>
      </c>
      <c r="G28" s="337">
        <v>359</v>
      </c>
      <c r="H28" s="337">
        <v>113</v>
      </c>
      <c r="I28" s="337">
        <v>182</v>
      </c>
      <c r="J28" s="337">
        <v>54</v>
      </c>
      <c r="K28" s="337">
        <v>294</v>
      </c>
      <c r="L28" s="461">
        <v>158</v>
      </c>
      <c r="M28" s="460">
        <v>125</v>
      </c>
      <c r="N28" s="460">
        <v>54</v>
      </c>
      <c r="O28" s="460">
        <v>43</v>
      </c>
      <c r="P28" s="460">
        <v>628</v>
      </c>
    </row>
    <row r="29" spans="1:16" x14ac:dyDescent="0.5">
      <c r="A29" s="48">
        <v>2007</v>
      </c>
      <c r="B29" s="59">
        <f t="shared" si="1"/>
        <v>2254.1999999999998</v>
      </c>
      <c r="C29" s="59">
        <f t="shared" si="2"/>
        <v>1050.2</v>
      </c>
      <c r="D29" s="59">
        <f t="shared" si="3"/>
        <v>1204</v>
      </c>
      <c r="E29" s="59"/>
      <c r="F29" s="337">
        <v>313.20000000000005</v>
      </c>
      <c r="G29" s="337">
        <v>279</v>
      </c>
      <c r="H29" s="337">
        <v>74</v>
      </c>
      <c r="I29" s="337">
        <v>150</v>
      </c>
      <c r="J29" s="337">
        <v>36</v>
      </c>
      <c r="K29" s="337">
        <v>198</v>
      </c>
      <c r="L29" s="461">
        <v>249</v>
      </c>
      <c r="M29" s="460">
        <v>130</v>
      </c>
      <c r="N29" s="460">
        <v>56</v>
      </c>
      <c r="O29" s="460">
        <v>97</v>
      </c>
      <c r="P29" s="460">
        <v>672</v>
      </c>
    </row>
    <row r="30" spans="1:16" x14ac:dyDescent="0.5">
      <c r="A30" s="48">
        <v>2008</v>
      </c>
      <c r="B30" s="59">
        <f t="shared" si="1"/>
        <v>3204</v>
      </c>
      <c r="C30" s="59">
        <f t="shared" si="2"/>
        <v>1624</v>
      </c>
      <c r="D30" s="59">
        <f t="shared" si="3"/>
        <v>1580</v>
      </c>
      <c r="E30" s="59"/>
      <c r="F30" s="337">
        <v>485</v>
      </c>
      <c r="G30" s="337">
        <v>342</v>
      </c>
      <c r="H30" s="337">
        <v>89</v>
      </c>
      <c r="I30" s="337">
        <v>382</v>
      </c>
      <c r="J30" s="337">
        <v>64</v>
      </c>
      <c r="K30" s="337">
        <v>262</v>
      </c>
      <c r="L30" s="461">
        <v>437</v>
      </c>
      <c r="M30" s="460">
        <v>177</v>
      </c>
      <c r="N30" s="460">
        <v>71</v>
      </c>
      <c r="O30" s="460">
        <v>204</v>
      </c>
      <c r="P30" s="460">
        <v>691</v>
      </c>
    </row>
    <row r="31" spans="1:16" x14ac:dyDescent="0.5">
      <c r="A31" s="48">
        <v>2009</v>
      </c>
      <c r="B31" s="59">
        <f t="shared" si="1"/>
        <v>4036</v>
      </c>
      <c r="C31" s="59">
        <f t="shared" si="2"/>
        <v>2264</v>
      </c>
      <c r="D31" s="59">
        <f t="shared" si="3"/>
        <v>1772</v>
      </c>
      <c r="E31" s="59"/>
      <c r="F31" s="337">
        <v>765</v>
      </c>
      <c r="G31" s="337">
        <v>348</v>
      </c>
      <c r="H31" s="337">
        <v>125</v>
      </c>
      <c r="I31" s="337">
        <v>482</v>
      </c>
      <c r="J31" s="337">
        <v>100</v>
      </c>
      <c r="K31" s="337">
        <v>444</v>
      </c>
      <c r="L31" s="461">
        <v>501</v>
      </c>
      <c r="M31" s="460">
        <v>167</v>
      </c>
      <c r="N31" s="460">
        <v>49</v>
      </c>
      <c r="O31" s="460">
        <v>448</v>
      </c>
      <c r="P31" s="460">
        <v>607</v>
      </c>
    </row>
    <row r="32" spans="1:16" x14ac:dyDescent="0.5">
      <c r="A32" s="48">
        <v>2010</v>
      </c>
      <c r="B32" s="59">
        <f>SUM(C32:D32)</f>
        <v>6899</v>
      </c>
      <c r="C32" s="59">
        <f>SUM(F32:K32)</f>
        <v>3555</v>
      </c>
      <c r="D32" s="59">
        <f t="shared" si="3"/>
        <v>3344</v>
      </c>
      <c r="E32" s="59"/>
      <c r="F32" s="337">
        <v>865</v>
      </c>
      <c r="G32" s="337">
        <v>593</v>
      </c>
      <c r="H32" s="337">
        <v>476</v>
      </c>
      <c r="I32" s="337">
        <v>733</v>
      </c>
      <c r="J32" s="337">
        <v>136</v>
      </c>
      <c r="K32" s="337">
        <v>752</v>
      </c>
      <c r="L32" s="461">
        <v>791</v>
      </c>
      <c r="M32" s="460">
        <v>632</v>
      </c>
      <c r="N32" s="460">
        <v>112</v>
      </c>
      <c r="O32" s="460">
        <v>224</v>
      </c>
      <c r="P32" s="460">
        <v>1585</v>
      </c>
    </row>
    <row r="33" spans="1:18" x14ac:dyDescent="0.5">
      <c r="A33" s="48">
        <v>2011</v>
      </c>
      <c r="B33" s="59">
        <f t="shared" si="1"/>
        <v>6523</v>
      </c>
      <c r="C33" s="59">
        <f t="shared" si="2"/>
        <v>3310</v>
      </c>
      <c r="D33" s="59">
        <f t="shared" si="3"/>
        <v>3213</v>
      </c>
      <c r="F33" s="337">
        <v>697</v>
      </c>
      <c r="G33" s="337">
        <v>592</v>
      </c>
      <c r="H33" s="337">
        <v>413</v>
      </c>
      <c r="I33" s="337">
        <v>583</v>
      </c>
      <c r="J33" s="337">
        <v>129</v>
      </c>
      <c r="K33" s="337">
        <v>896</v>
      </c>
      <c r="L33" s="461">
        <v>757</v>
      </c>
      <c r="M33" s="460">
        <v>674</v>
      </c>
      <c r="N33" s="460">
        <v>171</v>
      </c>
      <c r="O33" s="460">
        <v>297</v>
      </c>
      <c r="P33" s="460">
        <v>1314</v>
      </c>
      <c r="Q33" s="62"/>
    </row>
    <row r="34" spans="1:18" s="65" customFormat="1" x14ac:dyDescent="0.5">
      <c r="A34" s="63">
        <v>2012</v>
      </c>
      <c r="B34" s="59">
        <f t="shared" si="1"/>
        <v>5895</v>
      </c>
      <c r="C34" s="64">
        <f t="shared" si="2"/>
        <v>3290</v>
      </c>
      <c r="D34" s="59">
        <f t="shared" si="3"/>
        <v>2605</v>
      </c>
      <c r="E34" s="62"/>
      <c r="F34" s="337">
        <v>584</v>
      </c>
      <c r="G34" s="337">
        <v>563</v>
      </c>
      <c r="H34" s="337">
        <v>392</v>
      </c>
      <c r="I34" s="337">
        <v>744</v>
      </c>
      <c r="J34" s="337">
        <v>241</v>
      </c>
      <c r="K34" s="337">
        <v>766</v>
      </c>
      <c r="L34" s="461">
        <v>940</v>
      </c>
      <c r="M34" s="460">
        <v>411</v>
      </c>
      <c r="N34" s="460">
        <v>41</v>
      </c>
      <c r="O34" s="460">
        <v>385</v>
      </c>
      <c r="P34" s="460">
        <v>828</v>
      </c>
      <c r="Q34" s="62"/>
      <c r="R34" s="62"/>
    </row>
    <row r="35" spans="1:18" x14ac:dyDescent="0.5">
      <c r="A35" s="48">
        <v>2013</v>
      </c>
      <c r="B35" s="59">
        <f t="shared" ref="B35:B40" si="4">SUM(C35:D35)</f>
        <v>3769</v>
      </c>
      <c r="C35" s="64">
        <v>2163</v>
      </c>
      <c r="D35" s="59">
        <f t="shared" si="3"/>
        <v>1606</v>
      </c>
      <c r="F35" s="337">
        <v>409</v>
      </c>
      <c r="G35" s="337">
        <v>282</v>
      </c>
      <c r="H35" s="337">
        <v>247</v>
      </c>
      <c r="I35" s="337">
        <v>319</v>
      </c>
      <c r="J35" s="337">
        <v>352</v>
      </c>
      <c r="K35" s="337">
        <v>277</v>
      </c>
      <c r="L35" s="461">
        <v>505</v>
      </c>
      <c r="M35" s="460">
        <v>375</v>
      </c>
      <c r="N35" s="460">
        <v>110</v>
      </c>
      <c r="O35" s="460">
        <v>195</v>
      </c>
      <c r="P35" s="460">
        <v>421</v>
      </c>
    </row>
    <row r="36" spans="1:18" x14ac:dyDescent="0.5">
      <c r="A36" s="48">
        <v>2014</v>
      </c>
      <c r="B36" s="59">
        <f t="shared" si="4"/>
        <v>7996</v>
      </c>
      <c r="C36" s="64">
        <f>SUM(F36:K36)</f>
        <v>4728</v>
      </c>
      <c r="D36" s="59">
        <f t="shared" si="3"/>
        <v>3268</v>
      </c>
      <c r="F36" s="337">
        <v>926</v>
      </c>
      <c r="G36" s="337">
        <v>606</v>
      </c>
      <c r="H36" s="337">
        <v>610</v>
      </c>
      <c r="I36" s="337">
        <v>1019</v>
      </c>
      <c r="J36" s="337">
        <v>742</v>
      </c>
      <c r="K36" s="337">
        <v>825</v>
      </c>
      <c r="L36" s="461">
        <v>997</v>
      </c>
      <c r="M36" s="460">
        <v>861</v>
      </c>
      <c r="N36" s="460">
        <v>203</v>
      </c>
      <c r="O36" s="460">
        <v>287</v>
      </c>
      <c r="P36" s="460">
        <v>920</v>
      </c>
      <c r="Q36" s="62"/>
    </row>
    <row r="37" spans="1:18" x14ac:dyDescent="0.5">
      <c r="A37" s="63">
        <v>2015</v>
      </c>
      <c r="B37" s="59">
        <f t="shared" si="4"/>
        <v>4833</v>
      </c>
      <c r="C37" s="64">
        <f>SUM(F37:K37)</f>
        <v>2952</v>
      </c>
      <c r="D37" s="59">
        <f t="shared" si="3"/>
        <v>1881</v>
      </c>
      <c r="F37" s="337">
        <v>555</v>
      </c>
      <c r="G37" s="337">
        <v>609</v>
      </c>
      <c r="H37" s="337">
        <v>293</v>
      </c>
      <c r="I37" s="337">
        <v>467</v>
      </c>
      <c r="J37" s="337">
        <v>395</v>
      </c>
      <c r="K37" s="337">
        <v>633</v>
      </c>
      <c r="L37" s="461">
        <v>594</v>
      </c>
      <c r="M37" s="460">
        <v>586</v>
      </c>
      <c r="N37" s="460">
        <v>119</v>
      </c>
      <c r="O37" s="460">
        <v>253</v>
      </c>
      <c r="P37" s="460">
        <v>329</v>
      </c>
      <c r="Q37" s="62"/>
      <c r="R37" s="62"/>
    </row>
    <row r="38" spans="1:18" x14ac:dyDescent="0.5">
      <c r="A38" s="48">
        <v>2016</v>
      </c>
      <c r="B38" s="59">
        <f t="shared" si="4"/>
        <v>4625</v>
      </c>
      <c r="C38" s="64">
        <f>SUM(F38:K38)</f>
        <v>3137</v>
      </c>
      <c r="D38" s="59">
        <f t="shared" si="3"/>
        <v>1488</v>
      </c>
      <c r="F38" s="337">
        <v>614</v>
      </c>
      <c r="G38" s="337">
        <v>745</v>
      </c>
      <c r="H38" s="337">
        <v>258</v>
      </c>
      <c r="I38" s="337">
        <v>672</v>
      </c>
      <c r="J38" s="337">
        <v>165</v>
      </c>
      <c r="K38" s="337">
        <v>683</v>
      </c>
      <c r="L38" s="461">
        <v>469</v>
      </c>
      <c r="M38" s="460">
        <v>411</v>
      </c>
      <c r="N38" s="460">
        <v>43</v>
      </c>
      <c r="O38" s="460">
        <v>214</v>
      </c>
      <c r="P38" s="460">
        <v>351</v>
      </c>
    </row>
    <row r="39" spans="1:18" x14ac:dyDescent="0.5">
      <c r="A39" s="48">
        <v>2017</v>
      </c>
      <c r="B39" s="59">
        <f t="shared" si="4"/>
        <v>1428.7058823529412</v>
      </c>
      <c r="C39" s="64">
        <f>SUM(F39:K39)</f>
        <v>1015.7058823529412</v>
      </c>
      <c r="D39" s="59">
        <f t="shared" si="3"/>
        <v>413</v>
      </c>
      <c r="F39" s="49">
        <v>187</v>
      </c>
      <c r="G39" s="49">
        <v>186</v>
      </c>
      <c r="H39" s="49">
        <v>54</v>
      </c>
      <c r="I39" s="49">
        <v>213</v>
      </c>
      <c r="J39" s="49">
        <v>53</v>
      </c>
      <c r="K39" s="49">
        <v>322.70588235294122</v>
      </c>
      <c r="L39" s="461">
        <v>136</v>
      </c>
      <c r="M39" s="460">
        <v>96</v>
      </c>
      <c r="N39" s="460">
        <v>6</v>
      </c>
      <c r="O39" s="460">
        <v>48</v>
      </c>
      <c r="P39" s="460">
        <v>127</v>
      </c>
    </row>
    <row r="40" spans="1:18" x14ac:dyDescent="0.5">
      <c r="A40" s="48">
        <v>2018</v>
      </c>
      <c r="B40" s="59">
        <f t="shared" si="4"/>
        <v>1187</v>
      </c>
      <c r="C40" s="64">
        <f>SUM(F40:K40)</f>
        <v>1187</v>
      </c>
      <c r="D40" s="59">
        <f t="shared" ref="D40" si="5">SUM(L40:P40)</f>
        <v>0</v>
      </c>
      <c r="F40" s="49">
        <v>310</v>
      </c>
      <c r="G40" s="49">
        <v>257</v>
      </c>
      <c r="H40" s="49">
        <v>45</v>
      </c>
      <c r="I40" s="49">
        <v>226</v>
      </c>
      <c r="J40" s="49">
        <v>92</v>
      </c>
      <c r="K40" s="49">
        <v>257</v>
      </c>
      <c r="L40" s="460"/>
      <c r="M40" s="460"/>
      <c r="N40" s="460"/>
      <c r="O40" s="460"/>
      <c r="P40" s="460"/>
    </row>
    <row r="41" spans="1:18" x14ac:dyDescent="0.5">
      <c r="B41" s="59"/>
      <c r="C41" s="64"/>
      <c r="D41" s="59"/>
      <c r="L41" s="460"/>
      <c r="M41" s="460"/>
      <c r="N41" s="460"/>
      <c r="O41" s="460"/>
      <c r="P41" s="460"/>
    </row>
    <row r="43" spans="1:18" x14ac:dyDescent="0.5">
      <c r="B43" s="73">
        <f>AVERAGE(B10:B29)</f>
        <v>3056.2143653667413</v>
      </c>
    </row>
  </sheetData>
  <mergeCells count="3">
    <mergeCell ref="B4:D4"/>
    <mergeCell ref="F4:K4"/>
    <mergeCell ref="L4:O4"/>
  </mergeCells>
  <pageMargins left="0.7" right="0.7" top="0.75" bottom="0.75" header="0.3" footer="0.3"/>
  <drawing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>
    <tabColor rgb="FF00B050"/>
  </sheetPr>
  <dimension ref="A1:L34"/>
  <sheetViews>
    <sheetView zoomScaleNormal="100" workbookViewId="0">
      <selection activeCell="D35" sqref="D35"/>
    </sheetView>
  </sheetViews>
  <sheetFormatPr defaultRowHeight="12.9" x14ac:dyDescent="0.5"/>
  <cols>
    <col min="2" max="2" width="30.41015625" customWidth="1"/>
    <col min="3" max="3" width="42.1171875" bestFit="1" customWidth="1"/>
    <col min="6" max="6" width="4.1171875" customWidth="1"/>
    <col min="9" max="9" width="4.1171875" customWidth="1"/>
  </cols>
  <sheetData>
    <row r="1" spans="1:12" x14ac:dyDescent="0.5">
      <c r="A1" s="147"/>
      <c r="B1" t="s">
        <v>500</v>
      </c>
    </row>
    <row r="3" spans="1:12" ht="15.3" thickBot="1" x14ac:dyDescent="0.55000000000000004">
      <c r="B3" s="800" t="s">
        <v>336</v>
      </c>
      <c r="C3" s="801"/>
      <c r="D3" s="801"/>
      <c r="E3" s="801"/>
      <c r="F3" s="801"/>
      <c r="G3" s="801"/>
      <c r="H3" s="801"/>
      <c r="I3" s="801"/>
      <c r="J3" s="801"/>
      <c r="K3" s="801"/>
      <c r="L3" s="802"/>
    </row>
    <row r="4" spans="1:12" ht="13.5" thickTop="1" thickBot="1" x14ac:dyDescent="0.55000000000000004">
      <c r="B4" s="193" t="s">
        <v>501</v>
      </c>
      <c r="C4" s="26"/>
      <c r="D4" s="785" t="s">
        <v>337</v>
      </c>
      <c r="E4" s="786"/>
      <c r="F4" s="40"/>
      <c r="G4" s="786" t="s">
        <v>449</v>
      </c>
      <c r="H4" s="786"/>
      <c r="I4" s="40"/>
      <c r="J4" s="786" t="s">
        <v>339</v>
      </c>
      <c r="K4" s="786"/>
      <c r="L4" s="194"/>
    </row>
    <row r="5" spans="1:12" ht="13.2" thickBot="1" x14ac:dyDescent="0.55000000000000004">
      <c r="B5" s="195" t="s">
        <v>340</v>
      </c>
      <c r="C5" s="29"/>
      <c r="D5" s="27" t="s">
        <v>341</v>
      </c>
      <c r="E5" s="27" t="s">
        <v>259</v>
      </c>
      <c r="F5" s="40"/>
      <c r="G5" s="27" t="s">
        <v>341</v>
      </c>
      <c r="H5" s="27" t="s">
        <v>259</v>
      </c>
      <c r="I5" s="40"/>
      <c r="J5" s="30" t="s">
        <v>341</v>
      </c>
      <c r="K5" s="30" t="s">
        <v>342</v>
      </c>
      <c r="L5" s="194"/>
    </row>
    <row r="6" spans="1:12" ht="14.7" x14ac:dyDescent="0.5">
      <c r="B6" s="196" t="s">
        <v>343</v>
      </c>
      <c r="C6" s="26"/>
      <c r="D6" s="334" t="s">
        <v>476</v>
      </c>
      <c r="E6" s="334">
        <v>9.6000000000000002E-2</v>
      </c>
      <c r="F6" s="335"/>
      <c r="G6" s="334">
        <v>1.9E-2</v>
      </c>
      <c r="H6" s="342">
        <v>1.6939675793191972E-2</v>
      </c>
      <c r="I6" s="335"/>
      <c r="J6" s="342" t="s">
        <v>502</v>
      </c>
      <c r="K6" s="334">
        <f>E6+H6</f>
        <v>0.11293967579319197</v>
      </c>
      <c r="L6" s="194"/>
    </row>
    <row r="7" spans="1:12" ht="14.7" x14ac:dyDescent="0.5">
      <c r="B7" s="196" t="s">
        <v>344</v>
      </c>
      <c r="C7" s="26"/>
      <c r="D7" s="334" t="s">
        <v>476</v>
      </c>
      <c r="E7" s="334">
        <v>9.6000000000000002E-2</v>
      </c>
      <c r="F7" s="335"/>
      <c r="G7" s="334">
        <v>1.9E-2</v>
      </c>
      <c r="H7" s="342">
        <v>1.6804028511633047E-2</v>
      </c>
      <c r="I7" s="335"/>
      <c r="J7" s="342" t="s">
        <v>502</v>
      </c>
      <c r="K7" s="334">
        <f>E7+H7</f>
        <v>0.11280402851163304</v>
      </c>
      <c r="L7" s="194"/>
    </row>
    <row r="8" spans="1:12" x14ac:dyDescent="0.5">
      <c r="B8" s="196" t="s">
        <v>451</v>
      </c>
      <c r="C8" s="26" t="s">
        <v>346</v>
      </c>
      <c r="D8" s="36" t="s">
        <v>347</v>
      </c>
      <c r="E8" s="36" t="s">
        <v>347</v>
      </c>
      <c r="F8" s="33"/>
      <c r="G8" s="342">
        <v>0.15</v>
      </c>
      <c r="H8" s="342">
        <v>5.0999999999999997E-2</v>
      </c>
      <c r="I8" s="33"/>
      <c r="J8" s="36"/>
      <c r="K8" s="36"/>
      <c r="L8" s="197"/>
    </row>
    <row r="9" spans="1:12" x14ac:dyDescent="0.5">
      <c r="B9" s="196" t="s">
        <v>298</v>
      </c>
      <c r="C9" s="26" t="s">
        <v>346</v>
      </c>
      <c r="D9" s="36" t="s">
        <v>347</v>
      </c>
      <c r="E9" s="36" t="s">
        <v>347</v>
      </c>
      <c r="F9" s="33"/>
      <c r="G9" s="46" t="s">
        <v>348</v>
      </c>
      <c r="H9" s="36"/>
      <c r="I9" s="33"/>
      <c r="J9" s="36"/>
      <c r="K9" s="36"/>
      <c r="L9" s="197"/>
    </row>
    <row r="10" spans="1:12" ht="14.7" x14ac:dyDescent="0.5">
      <c r="B10" s="196"/>
      <c r="C10" s="26" t="s">
        <v>349</v>
      </c>
      <c r="D10" s="36" t="s">
        <v>347</v>
      </c>
      <c r="E10" s="36" t="s">
        <v>347</v>
      </c>
      <c r="F10" s="33"/>
      <c r="G10" s="334" t="s">
        <v>477</v>
      </c>
      <c r="H10" s="334">
        <v>0.36</v>
      </c>
      <c r="I10" s="33"/>
      <c r="J10" s="36"/>
      <c r="K10" s="36"/>
      <c r="L10" s="197"/>
    </row>
    <row r="11" spans="1:12" ht="14.4" x14ac:dyDescent="0.5">
      <c r="B11" s="196"/>
      <c r="C11" s="26" t="s">
        <v>453</v>
      </c>
      <c r="D11" s="36" t="s">
        <v>347</v>
      </c>
      <c r="E11" s="36" t="s">
        <v>347</v>
      </c>
      <c r="F11" s="33"/>
      <c r="G11" s="343" t="s">
        <v>454</v>
      </c>
      <c r="H11" s="333"/>
      <c r="I11" s="33"/>
      <c r="J11" s="36"/>
      <c r="K11" s="36"/>
      <c r="L11" s="197"/>
    </row>
    <row r="12" spans="1:12" x14ac:dyDescent="0.5">
      <c r="B12" s="196" t="s">
        <v>353</v>
      </c>
      <c r="C12" s="26"/>
      <c r="D12" s="334">
        <v>0.3</v>
      </c>
      <c r="E12" s="334">
        <v>0.2326</v>
      </c>
      <c r="F12" s="335"/>
      <c r="G12" s="334">
        <v>0.15</v>
      </c>
      <c r="H12" s="334">
        <v>0.1462</v>
      </c>
      <c r="I12" s="335"/>
      <c r="J12" s="334">
        <v>0.45</v>
      </c>
      <c r="K12" s="334">
        <f>E12+H12</f>
        <v>0.37880000000000003</v>
      </c>
      <c r="L12" s="197"/>
    </row>
    <row r="13" spans="1:12" x14ac:dyDescent="0.5">
      <c r="A13" s="147"/>
      <c r="B13" s="196" t="s">
        <v>302</v>
      </c>
      <c r="C13" s="26"/>
      <c r="D13" s="36" t="s">
        <v>347</v>
      </c>
      <c r="E13" s="36" t="s">
        <v>347</v>
      </c>
      <c r="F13" s="33"/>
      <c r="G13" s="334">
        <v>0.18</v>
      </c>
      <c r="H13" s="334">
        <v>9.4399999999999998E-2</v>
      </c>
      <c r="I13" s="33"/>
      <c r="J13" s="36"/>
      <c r="K13" s="36"/>
      <c r="L13" s="197"/>
    </row>
    <row r="14" spans="1:12" x14ac:dyDescent="0.5">
      <c r="A14" s="147"/>
      <c r="B14" s="196" t="s">
        <v>303</v>
      </c>
      <c r="C14" s="26"/>
      <c r="D14" s="36" t="s">
        <v>347</v>
      </c>
      <c r="E14" s="36" t="s">
        <v>347</v>
      </c>
      <c r="F14" s="33"/>
      <c r="G14" s="334">
        <v>0.05</v>
      </c>
      <c r="H14" s="334">
        <v>0</v>
      </c>
      <c r="I14" s="33"/>
      <c r="J14" s="36">
        <v>0.05</v>
      </c>
      <c r="K14" s="36"/>
      <c r="L14" s="197"/>
    </row>
    <row r="15" spans="1:12" x14ac:dyDescent="0.5">
      <c r="A15" s="147"/>
      <c r="B15" s="338" t="s">
        <v>96</v>
      </c>
      <c r="C15" s="339"/>
      <c r="D15" s="340">
        <v>7.0000000000000007E-2</v>
      </c>
      <c r="E15" s="340">
        <f>43/944</f>
        <v>4.5550847457627115E-2</v>
      </c>
      <c r="F15" s="341"/>
      <c r="G15" s="340">
        <v>0.01</v>
      </c>
      <c r="H15" s="344">
        <f>3.5/944</f>
        <v>3.7076271186440679E-3</v>
      </c>
      <c r="I15" s="341"/>
      <c r="J15" s="340">
        <v>0.08</v>
      </c>
      <c r="K15" s="340">
        <f>E15+H15</f>
        <v>4.925847457627118E-2</v>
      </c>
      <c r="L15" s="282"/>
    </row>
    <row r="16" spans="1:12" x14ac:dyDescent="0.5">
      <c r="A16" s="147"/>
      <c r="B16" s="193" t="s">
        <v>503</v>
      </c>
      <c r="C16" s="26"/>
      <c r="D16" s="334"/>
      <c r="E16" s="334"/>
      <c r="F16" s="335"/>
      <c r="G16" s="334"/>
      <c r="H16" s="334"/>
      <c r="I16" s="335"/>
      <c r="J16" s="334"/>
      <c r="K16" s="334"/>
      <c r="L16" s="197"/>
    </row>
    <row r="17" spans="1:12" ht="25.2" x14ac:dyDescent="0.5">
      <c r="A17" t="s">
        <v>504</v>
      </c>
      <c r="B17" s="196" t="s">
        <v>299</v>
      </c>
      <c r="C17" s="38" t="s">
        <v>505</v>
      </c>
      <c r="D17" s="36" t="s">
        <v>347</v>
      </c>
      <c r="E17" s="36" t="s">
        <v>347</v>
      </c>
      <c r="F17" s="33"/>
      <c r="G17" s="334">
        <v>0.02</v>
      </c>
      <c r="H17" s="334" t="e">
        <f>SUM('T22'!#REF!,#REF!,'T24'!#REF!)/(BonSThd!G54+BonSThd!H54)</f>
        <v>#REF!</v>
      </c>
      <c r="I17" s="33"/>
      <c r="J17" s="36"/>
      <c r="K17" s="36"/>
      <c r="L17" s="197"/>
    </row>
    <row r="18" spans="1:12" ht="25.2" x14ac:dyDescent="0.5">
      <c r="A18" t="s">
        <v>504</v>
      </c>
      <c r="B18" s="196" t="s">
        <v>299</v>
      </c>
      <c r="C18" s="38" t="s">
        <v>506</v>
      </c>
      <c r="D18" s="36" t="s">
        <v>347</v>
      </c>
      <c r="E18" s="36" t="s">
        <v>347</v>
      </c>
      <c r="F18" s="33"/>
      <c r="G18" s="334">
        <v>0.02</v>
      </c>
      <c r="H18" s="334" t="e">
        <f>SUM('T22'!#REF!,'T24'!#REF!)/(BonSThd!J54+BonSThd!K54)</f>
        <v>#REF!</v>
      </c>
      <c r="I18" s="33"/>
      <c r="J18" s="36"/>
      <c r="K18" s="36"/>
      <c r="L18" s="197"/>
    </row>
    <row r="19" spans="1:12" x14ac:dyDescent="0.5">
      <c r="B19" s="196" t="s">
        <v>299</v>
      </c>
      <c r="C19" s="38" t="s">
        <v>507</v>
      </c>
      <c r="D19" s="36"/>
      <c r="E19" s="36"/>
      <c r="F19" s="33"/>
      <c r="G19" s="334">
        <v>0.02</v>
      </c>
      <c r="H19" s="334" t="e">
        <f>#REF!</f>
        <v>#REF!</v>
      </c>
      <c r="I19" s="33"/>
      <c r="J19" s="36"/>
      <c r="K19" s="36"/>
      <c r="L19" s="197"/>
    </row>
    <row r="20" spans="1:12" x14ac:dyDescent="0.5">
      <c r="B20" s="196" t="s">
        <v>299</v>
      </c>
      <c r="C20" s="38" t="s">
        <v>508</v>
      </c>
      <c r="D20" s="36"/>
      <c r="E20" s="36"/>
      <c r="F20" s="33"/>
      <c r="G20" s="334">
        <v>0.02</v>
      </c>
      <c r="H20" s="334" t="e">
        <f>#REF!</f>
        <v>#REF!</v>
      </c>
      <c r="I20" s="33"/>
      <c r="J20" s="36"/>
      <c r="K20" s="36"/>
      <c r="L20" s="197"/>
    </row>
    <row r="21" spans="1:12" x14ac:dyDescent="0.5">
      <c r="A21" t="s">
        <v>509</v>
      </c>
      <c r="B21" s="196" t="s">
        <v>354</v>
      </c>
      <c r="C21" s="38" t="s">
        <v>510</v>
      </c>
      <c r="D21" s="36" t="s">
        <v>347</v>
      </c>
      <c r="E21" s="36" t="s">
        <v>347</v>
      </c>
      <c r="F21" s="33"/>
      <c r="G21" s="334">
        <v>0.02</v>
      </c>
      <c r="H21" s="334" t="e">
        <f>SUM('T22'!#REF!,'T24'!#REF!)/(BonSThd!G54+BonSThd!H54)</f>
        <v>#REF!</v>
      </c>
      <c r="I21" s="33"/>
      <c r="J21" s="36"/>
      <c r="K21" s="36"/>
      <c r="L21" s="197"/>
    </row>
    <row r="22" spans="1:12" x14ac:dyDescent="0.5">
      <c r="A22" t="s">
        <v>511</v>
      </c>
      <c r="B22" s="196" t="s">
        <v>354</v>
      </c>
      <c r="C22" s="38" t="s">
        <v>512</v>
      </c>
      <c r="D22" s="36"/>
      <c r="E22" s="36"/>
      <c r="F22" s="33"/>
      <c r="G22" s="334">
        <v>0.02</v>
      </c>
      <c r="H22" s="334" t="e">
        <f>H19</f>
        <v>#REF!</v>
      </c>
      <c r="I22" s="33"/>
      <c r="J22" s="36"/>
      <c r="K22" s="36"/>
      <c r="L22" s="197"/>
    </row>
    <row r="23" spans="1:12" ht="25.2" x14ac:dyDescent="0.5">
      <c r="A23" t="s">
        <v>513</v>
      </c>
      <c r="B23" s="196" t="s">
        <v>300</v>
      </c>
      <c r="C23" s="38" t="s">
        <v>514</v>
      </c>
      <c r="D23" s="36" t="s">
        <v>347</v>
      </c>
      <c r="E23" s="36" t="s">
        <v>347</v>
      </c>
      <c r="F23" s="33"/>
      <c r="G23" s="334">
        <v>0.02</v>
      </c>
      <c r="H23" s="334" t="e">
        <f>H21</f>
        <v>#REF!</v>
      </c>
      <c r="I23" s="33"/>
      <c r="J23" s="36"/>
      <c r="K23" s="36"/>
      <c r="L23" s="197"/>
    </row>
    <row r="24" spans="1:12" x14ac:dyDescent="0.5">
      <c r="A24" t="s">
        <v>513</v>
      </c>
      <c r="B24" s="196" t="s">
        <v>300</v>
      </c>
      <c r="C24" s="38" t="s">
        <v>515</v>
      </c>
      <c r="D24" s="36" t="s">
        <v>347</v>
      </c>
      <c r="E24" s="36" t="s">
        <v>347</v>
      </c>
      <c r="F24" s="33"/>
      <c r="G24" s="334">
        <v>0.02</v>
      </c>
      <c r="H24" s="334" t="e">
        <f>H22</f>
        <v>#REF!</v>
      </c>
      <c r="I24" s="33"/>
      <c r="J24" s="36"/>
      <c r="K24" s="36"/>
      <c r="L24" s="197"/>
    </row>
    <row r="25" spans="1:12" x14ac:dyDescent="0.5">
      <c r="A25" t="s">
        <v>14</v>
      </c>
      <c r="B25" s="196" t="s">
        <v>300</v>
      </c>
      <c r="C25" s="38" t="s">
        <v>516</v>
      </c>
      <c r="D25" s="36" t="s">
        <v>347</v>
      </c>
      <c r="E25" s="36" t="s">
        <v>347</v>
      </c>
      <c r="F25" s="33"/>
      <c r="G25" s="334">
        <v>0.02</v>
      </c>
      <c r="H25" s="334" t="e">
        <f>'T15'!G10/#REF!</f>
        <v>#REF!</v>
      </c>
      <c r="I25" s="33"/>
      <c r="J25" s="36"/>
      <c r="K25" s="36"/>
      <c r="L25" s="197"/>
    </row>
    <row r="26" spans="1:12" x14ac:dyDescent="0.5">
      <c r="A26" t="s">
        <v>19</v>
      </c>
      <c r="B26" s="196" t="s">
        <v>301</v>
      </c>
      <c r="C26" s="38" t="s">
        <v>517</v>
      </c>
      <c r="D26" s="36" t="s">
        <v>347</v>
      </c>
      <c r="E26" s="36" t="s">
        <v>347</v>
      </c>
      <c r="F26" s="33"/>
      <c r="G26" s="334">
        <v>0.02</v>
      </c>
      <c r="H26" s="334" t="e">
        <f>'T21'!J9/'T21'!#REF!</f>
        <v>#REF!</v>
      </c>
      <c r="I26" s="33"/>
      <c r="J26" s="36"/>
      <c r="K26" s="36"/>
      <c r="L26" s="197"/>
    </row>
    <row r="27" spans="1:12" x14ac:dyDescent="0.5">
      <c r="A27" t="s">
        <v>518</v>
      </c>
      <c r="B27" s="196" t="s">
        <v>301</v>
      </c>
      <c r="C27" s="38" t="s">
        <v>515</v>
      </c>
      <c r="D27" s="36" t="s">
        <v>347</v>
      </c>
      <c r="E27" s="36" t="s">
        <v>347</v>
      </c>
      <c r="F27" s="33"/>
      <c r="G27" s="333">
        <v>0.02</v>
      </c>
      <c r="H27" s="333">
        <v>0</v>
      </c>
      <c r="I27" s="33"/>
      <c r="J27" s="36"/>
      <c r="K27" s="36"/>
      <c r="L27" s="197"/>
    </row>
    <row r="28" spans="1:12" x14ac:dyDescent="0.5">
      <c r="B28" s="196" t="s">
        <v>301</v>
      </c>
      <c r="C28" s="38" t="s">
        <v>516</v>
      </c>
      <c r="D28" s="36" t="s">
        <v>347</v>
      </c>
      <c r="E28" s="36" t="s">
        <v>347</v>
      </c>
      <c r="F28" s="33"/>
      <c r="G28" s="334">
        <v>0.02</v>
      </c>
      <c r="H28" s="334">
        <f>('T15'!C10+'T15'!E10)/'T15'!B10</f>
        <v>5.196836319764064E-3</v>
      </c>
      <c r="I28" s="33"/>
      <c r="J28" s="36"/>
      <c r="K28" s="36"/>
      <c r="L28" s="197"/>
    </row>
    <row r="29" spans="1:12" x14ac:dyDescent="0.5">
      <c r="B29" s="196" t="s">
        <v>362</v>
      </c>
      <c r="C29" s="38" t="s">
        <v>516</v>
      </c>
      <c r="D29" s="36" t="s">
        <v>347</v>
      </c>
      <c r="E29" s="36" t="s">
        <v>347</v>
      </c>
      <c r="F29" s="33"/>
      <c r="G29" s="334">
        <v>0.02</v>
      </c>
      <c r="H29" s="334">
        <f>H28</f>
        <v>5.196836319764064E-3</v>
      </c>
      <c r="I29" s="33"/>
      <c r="J29" s="36"/>
      <c r="K29" s="36"/>
      <c r="L29" s="197"/>
    </row>
    <row r="30" spans="1:12" x14ac:dyDescent="0.5">
      <c r="B30" s="803" t="s">
        <v>363</v>
      </c>
      <c r="C30" s="804"/>
      <c r="D30" s="804"/>
      <c r="E30" s="804"/>
      <c r="F30" s="804"/>
      <c r="G30" s="804"/>
      <c r="H30" s="804"/>
      <c r="I30" s="804"/>
      <c r="J30" s="804"/>
      <c r="K30" s="804"/>
      <c r="L30" s="805"/>
    </row>
    <row r="31" spans="1:12" x14ac:dyDescent="0.5">
      <c r="B31" s="794" t="s">
        <v>364</v>
      </c>
      <c r="C31" s="795"/>
      <c r="D31" s="795"/>
      <c r="E31" s="795"/>
      <c r="F31" s="795"/>
      <c r="G31" s="795"/>
      <c r="H31" s="795"/>
      <c r="I31" s="795"/>
      <c r="J31" s="795"/>
      <c r="K31" s="795"/>
      <c r="L31" s="796"/>
    </row>
    <row r="32" spans="1:12" x14ac:dyDescent="0.5">
      <c r="B32" s="794" t="s">
        <v>365</v>
      </c>
      <c r="C32" s="795"/>
      <c r="D32" s="795"/>
      <c r="E32" s="795"/>
      <c r="F32" s="795"/>
      <c r="G32" s="795"/>
      <c r="H32" s="795"/>
      <c r="I32" s="795"/>
      <c r="J32" s="795"/>
      <c r="K32" s="795"/>
      <c r="L32" s="796"/>
    </row>
    <row r="33" spans="2:12" x14ac:dyDescent="0.5">
      <c r="B33" s="794" t="s">
        <v>366</v>
      </c>
      <c r="C33" s="795"/>
      <c r="D33" s="795"/>
      <c r="E33" s="795"/>
      <c r="F33" s="795"/>
      <c r="G33" s="795"/>
      <c r="H33" s="795"/>
      <c r="I33" s="795"/>
      <c r="J33" s="795"/>
      <c r="K33" s="795"/>
      <c r="L33" s="796"/>
    </row>
    <row r="34" spans="2:12" ht="12.75" customHeight="1" x14ac:dyDescent="0.5">
      <c r="B34" s="797" t="s">
        <v>519</v>
      </c>
      <c r="C34" s="798"/>
      <c r="D34" s="798"/>
      <c r="E34" s="798"/>
      <c r="F34" s="798"/>
      <c r="G34" s="798"/>
      <c r="H34" s="798"/>
      <c r="I34" s="798"/>
      <c r="J34" s="798"/>
      <c r="K34" s="798"/>
      <c r="L34" s="799"/>
    </row>
  </sheetData>
  <mergeCells count="9">
    <mergeCell ref="B32:L32"/>
    <mergeCell ref="B33:L33"/>
    <mergeCell ref="B34:L34"/>
    <mergeCell ref="B3:L3"/>
    <mergeCell ref="D4:E4"/>
    <mergeCell ref="G4:H4"/>
    <mergeCell ref="J4:K4"/>
    <mergeCell ref="B30:L30"/>
    <mergeCell ref="B31:L31"/>
  </mergeCells>
  <pageMargins left="0.7" right="0.7" top="0.75" bottom="0.75" header="0.3" footer="0.3"/>
  <pageSetup scale="93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>
    <tabColor rgb="FFFFFF00"/>
  </sheetPr>
  <dimension ref="B2:AA39"/>
  <sheetViews>
    <sheetView topLeftCell="A13" workbookViewId="0">
      <selection activeCell="U49" sqref="U49"/>
    </sheetView>
  </sheetViews>
  <sheetFormatPr defaultRowHeight="12.9" x14ac:dyDescent="0.5"/>
  <cols>
    <col min="6" max="6" width="7.41015625" bestFit="1" customWidth="1"/>
  </cols>
  <sheetData>
    <row r="2" spans="2:27" x14ac:dyDescent="0.5">
      <c r="B2" s="74" t="s">
        <v>520</v>
      </c>
      <c r="C2" s="75"/>
      <c r="D2" s="75"/>
      <c r="E2" s="75"/>
      <c r="F2" s="75"/>
      <c r="G2" s="76" t="s">
        <v>521</v>
      </c>
      <c r="H2" s="75"/>
      <c r="I2" s="75"/>
      <c r="J2" s="75"/>
      <c r="K2" s="76" t="s">
        <v>522</v>
      </c>
      <c r="L2" s="75"/>
      <c r="M2" s="75"/>
      <c r="N2" s="198"/>
      <c r="O2" s="199" t="s">
        <v>523</v>
      </c>
      <c r="P2" s="199"/>
      <c r="Q2" s="200">
        <v>42502</v>
      </c>
    </row>
    <row r="3" spans="2:27" x14ac:dyDescent="0.5">
      <c r="B3" s="74" t="s">
        <v>524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</row>
    <row r="4" spans="2:27" x14ac:dyDescent="0.5">
      <c r="B4" s="74" t="s">
        <v>525</v>
      </c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</row>
    <row r="5" spans="2:27" x14ac:dyDescent="0.5">
      <c r="B5" s="74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</row>
    <row r="6" spans="2:27" ht="15.6" x14ac:dyDescent="0.55000000000000004">
      <c r="B6" s="77" t="s">
        <v>526</v>
      </c>
      <c r="C6" s="78"/>
      <c r="D6" s="78"/>
      <c r="E6" s="79"/>
      <c r="F6" s="80"/>
      <c r="G6" s="79"/>
      <c r="H6" s="79"/>
      <c r="I6" s="79"/>
      <c r="J6" s="80"/>
      <c r="K6" s="81"/>
      <c r="L6" s="75"/>
      <c r="M6" s="806" t="s">
        <v>527</v>
      </c>
      <c r="N6" s="807"/>
      <c r="O6" s="808"/>
      <c r="P6" s="809" t="s">
        <v>528</v>
      </c>
      <c r="Q6" s="76"/>
      <c r="S6" s="315" t="s">
        <v>529</v>
      </c>
      <c r="T6" s="316"/>
      <c r="U6" s="316"/>
      <c r="V6" s="316"/>
      <c r="W6" s="316"/>
      <c r="X6" s="316"/>
      <c r="Y6" s="316"/>
      <c r="Z6" s="316"/>
      <c r="AA6" s="316"/>
    </row>
    <row r="7" spans="2:27" ht="64.5" x14ac:dyDescent="0.5">
      <c r="B7" s="82" t="s">
        <v>258</v>
      </c>
      <c r="C7" s="82" t="s">
        <v>530</v>
      </c>
      <c r="D7" s="82" t="s">
        <v>531</v>
      </c>
      <c r="E7" s="82" t="s">
        <v>532</v>
      </c>
      <c r="F7" s="82" t="s">
        <v>533</v>
      </c>
      <c r="G7" s="82" t="s">
        <v>534</v>
      </c>
      <c r="H7" s="82" t="s">
        <v>535</v>
      </c>
      <c r="I7" s="82" t="s">
        <v>536</v>
      </c>
      <c r="J7" s="82" t="s">
        <v>537</v>
      </c>
      <c r="K7" s="82" t="s">
        <v>538</v>
      </c>
      <c r="L7" s="82" t="s">
        <v>539</v>
      </c>
      <c r="M7" s="82" t="s">
        <v>540</v>
      </c>
      <c r="N7" s="83" t="s">
        <v>541</v>
      </c>
      <c r="O7" s="83" t="s">
        <v>542</v>
      </c>
      <c r="P7" s="810"/>
      <c r="Q7" s="84" t="s">
        <v>543</v>
      </c>
      <c r="S7" s="317" t="s">
        <v>258</v>
      </c>
      <c r="T7" s="317" t="s">
        <v>544</v>
      </c>
      <c r="U7" s="318" t="s">
        <v>545</v>
      </c>
      <c r="V7" s="319" t="s">
        <v>546</v>
      </c>
      <c r="W7" s="317" t="s">
        <v>547</v>
      </c>
      <c r="X7" s="318" t="s">
        <v>548</v>
      </c>
      <c r="Y7" s="319" t="s">
        <v>249</v>
      </c>
      <c r="Z7" s="318" t="s">
        <v>549</v>
      </c>
      <c r="AA7" s="319" t="s">
        <v>550</v>
      </c>
    </row>
    <row r="8" spans="2:27" ht="14.4" x14ac:dyDescent="0.55000000000000004">
      <c r="B8" s="81" t="s">
        <v>277</v>
      </c>
      <c r="C8" s="142">
        <v>16613</v>
      </c>
      <c r="D8" s="142">
        <v>70900</v>
      </c>
      <c r="E8" s="142">
        <v>0</v>
      </c>
      <c r="F8" s="128">
        <v>87513</v>
      </c>
      <c r="G8" s="127">
        <v>5463</v>
      </c>
      <c r="H8" s="128">
        <v>36969</v>
      </c>
      <c r="I8" s="128">
        <v>0</v>
      </c>
      <c r="J8" s="128">
        <v>42432</v>
      </c>
      <c r="K8" s="128">
        <v>129945</v>
      </c>
      <c r="L8" s="128">
        <v>22076</v>
      </c>
      <c r="M8" s="128">
        <v>107869</v>
      </c>
      <c r="N8" s="129">
        <v>70900</v>
      </c>
      <c r="O8" s="129">
        <v>36969</v>
      </c>
      <c r="P8" s="130">
        <v>0.35393607269375954</v>
      </c>
      <c r="Q8" s="70">
        <v>2491994</v>
      </c>
      <c r="S8" s="320" t="s">
        <v>277</v>
      </c>
      <c r="T8" s="321">
        <v>16613</v>
      </c>
      <c r="U8" s="322">
        <v>5463</v>
      </c>
      <c r="V8" s="323">
        <v>22076</v>
      </c>
      <c r="W8" s="321">
        <v>70900</v>
      </c>
      <c r="X8" s="322">
        <v>36969</v>
      </c>
      <c r="Y8" s="323">
        <v>107869</v>
      </c>
      <c r="Z8" s="322">
        <v>129945</v>
      </c>
      <c r="AA8" s="324">
        <v>0.17</v>
      </c>
    </row>
    <row r="9" spans="2:27" ht="14.4" x14ac:dyDescent="0.55000000000000004">
      <c r="B9" s="81" t="s">
        <v>278</v>
      </c>
      <c r="C9" s="142">
        <v>20164</v>
      </c>
      <c r="D9" s="142">
        <v>32418</v>
      </c>
      <c r="E9" s="142">
        <v>0</v>
      </c>
      <c r="F9" s="128">
        <v>52582</v>
      </c>
      <c r="G9" s="127">
        <v>5347</v>
      </c>
      <c r="H9" s="128">
        <v>13473</v>
      </c>
      <c r="I9" s="128">
        <v>0</v>
      </c>
      <c r="J9" s="128">
        <v>18820</v>
      </c>
      <c r="K9" s="128">
        <v>71402</v>
      </c>
      <c r="L9" s="128">
        <v>25511</v>
      </c>
      <c r="M9" s="128">
        <v>45891</v>
      </c>
      <c r="N9" s="129">
        <v>32418</v>
      </c>
      <c r="O9" s="129">
        <v>13473</v>
      </c>
      <c r="P9" s="130">
        <v>0.32082865148318956</v>
      </c>
      <c r="Q9" s="70">
        <v>1871903</v>
      </c>
      <c r="S9" s="325" t="s">
        <v>278</v>
      </c>
      <c r="T9" s="326">
        <v>20164</v>
      </c>
      <c r="U9" s="327">
        <v>5347</v>
      </c>
      <c r="V9" s="328">
        <v>25511</v>
      </c>
      <c r="W9" s="326">
        <v>32418</v>
      </c>
      <c r="X9" s="327">
        <v>13473</v>
      </c>
      <c r="Y9" s="328">
        <v>45891</v>
      </c>
      <c r="Z9" s="327">
        <v>71402</v>
      </c>
      <c r="AA9" s="329">
        <v>0.35699999999999998</v>
      </c>
    </row>
    <row r="10" spans="2:27" ht="14.4" x14ac:dyDescent="0.55000000000000004">
      <c r="B10" s="81" t="s">
        <v>279</v>
      </c>
      <c r="C10" s="142">
        <v>15700</v>
      </c>
      <c r="D10" s="142">
        <v>44743</v>
      </c>
      <c r="E10" s="142">
        <v>0</v>
      </c>
      <c r="F10" s="128">
        <v>60443</v>
      </c>
      <c r="G10" s="127">
        <v>4614</v>
      </c>
      <c r="H10" s="128">
        <v>22006</v>
      </c>
      <c r="I10" s="128">
        <v>0</v>
      </c>
      <c r="J10" s="128">
        <v>26620</v>
      </c>
      <c r="K10" s="128">
        <v>87063</v>
      </c>
      <c r="L10" s="128">
        <v>20314</v>
      </c>
      <c r="M10" s="128">
        <v>66749</v>
      </c>
      <c r="N10" s="129">
        <v>44743</v>
      </c>
      <c r="O10" s="129">
        <v>22006</v>
      </c>
      <c r="P10" s="130">
        <v>0.38505314281847769</v>
      </c>
      <c r="Q10" s="70">
        <v>2957368</v>
      </c>
      <c r="S10" s="325" t="s">
        <v>279</v>
      </c>
      <c r="T10" s="326">
        <v>15700</v>
      </c>
      <c r="U10" s="327">
        <v>4614</v>
      </c>
      <c r="V10" s="328">
        <v>20314</v>
      </c>
      <c r="W10" s="326">
        <v>44743</v>
      </c>
      <c r="X10" s="327">
        <v>22006</v>
      </c>
      <c r="Y10" s="328">
        <v>66749</v>
      </c>
      <c r="Z10" s="327">
        <v>87063</v>
      </c>
      <c r="AA10" s="329">
        <v>0.23300000000000001</v>
      </c>
    </row>
    <row r="11" spans="2:27" ht="14.4" x14ac:dyDescent="0.55000000000000004">
      <c r="B11" s="81" t="s">
        <v>280</v>
      </c>
      <c r="C11" s="142">
        <v>16937</v>
      </c>
      <c r="D11" s="142">
        <v>66503</v>
      </c>
      <c r="E11" s="142">
        <v>0</v>
      </c>
      <c r="F11" s="128">
        <v>83440</v>
      </c>
      <c r="G11" s="127">
        <v>8042</v>
      </c>
      <c r="H11" s="128">
        <v>39866</v>
      </c>
      <c r="I11" s="128">
        <v>0</v>
      </c>
      <c r="J11" s="128">
        <v>47908</v>
      </c>
      <c r="K11" s="128">
        <v>131348</v>
      </c>
      <c r="L11" s="128">
        <v>24979</v>
      </c>
      <c r="M11" s="128">
        <v>106369</v>
      </c>
      <c r="N11" s="129">
        <v>66503</v>
      </c>
      <c r="O11" s="129">
        <v>39866</v>
      </c>
      <c r="P11" s="130">
        <v>0.26572189559691917</v>
      </c>
      <c r="Q11" s="70">
        <v>2640200</v>
      </c>
      <c r="S11" s="325" t="s">
        <v>280</v>
      </c>
      <c r="T11" s="326">
        <v>16937</v>
      </c>
      <c r="U11" s="327">
        <v>8042</v>
      </c>
      <c r="V11" s="328">
        <v>24979</v>
      </c>
      <c r="W11" s="326">
        <v>66503</v>
      </c>
      <c r="X11" s="327">
        <v>39866</v>
      </c>
      <c r="Y11" s="328">
        <v>106369</v>
      </c>
      <c r="Z11" s="327">
        <v>131348</v>
      </c>
      <c r="AA11" s="329">
        <v>0.19</v>
      </c>
    </row>
    <row r="12" spans="2:27" ht="14.4" x14ac:dyDescent="0.55000000000000004">
      <c r="B12" s="81" t="s">
        <v>281</v>
      </c>
      <c r="C12" s="142">
        <v>4806</v>
      </c>
      <c r="D12" s="142">
        <v>25577</v>
      </c>
      <c r="E12" s="142">
        <v>0</v>
      </c>
      <c r="F12" s="128">
        <v>30383</v>
      </c>
      <c r="G12" s="127">
        <v>4483</v>
      </c>
      <c r="H12" s="128">
        <v>22015</v>
      </c>
      <c r="I12" s="128">
        <v>0</v>
      </c>
      <c r="J12" s="128">
        <v>26498</v>
      </c>
      <c r="K12" s="128">
        <v>56881</v>
      </c>
      <c r="L12" s="128">
        <v>9289</v>
      </c>
      <c r="M12" s="128">
        <v>47592</v>
      </c>
      <c r="N12" s="129">
        <v>25577</v>
      </c>
      <c r="O12" s="129">
        <v>22015</v>
      </c>
      <c r="P12" s="130">
        <v>0.32208714182270465</v>
      </c>
      <c r="Q12" s="70">
        <v>2702500</v>
      </c>
      <c r="S12" s="325" t="s">
        <v>281</v>
      </c>
      <c r="T12" s="326">
        <v>4806</v>
      </c>
      <c r="U12" s="327">
        <v>4483</v>
      </c>
      <c r="V12" s="328">
        <v>9289</v>
      </c>
      <c r="W12" s="326">
        <v>25577</v>
      </c>
      <c r="X12" s="327">
        <v>22015</v>
      </c>
      <c r="Y12" s="328">
        <v>47592</v>
      </c>
      <c r="Z12" s="327">
        <v>56881</v>
      </c>
      <c r="AA12" s="329">
        <v>0.16300000000000001</v>
      </c>
    </row>
    <row r="13" spans="2:27" ht="14.4" x14ac:dyDescent="0.55000000000000004">
      <c r="B13" s="81" t="s">
        <v>282</v>
      </c>
      <c r="C13" s="142">
        <v>14135</v>
      </c>
      <c r="D13" s="142">
        <v>69885</v>
      </c>
      <c r="E13" s="142">
        <v>0</v>
      </c>
      <c r="F13" s="128">
        <v>84020</v>
      </c>
      <c r="G13" s="127">
        <v>3182</v>
      </c>
      <c r="H13" s="128">
        <v>11883</v>
      </c>
      <c r="I13" s="128">
        <v>0</v>
      </c>
      <c r="J13" s="128">
        <v>15065</v>
      </c>
      <c r="K13" s="128">
        <v>99085</v>
      </c>
      <c r="L13" s="128">
        <v>17317</v>
      </c>
      <c r="M13" s="128">
        <v>81768</v>
      </c>
      <c r="N13" s="129">
        <v>69885</v>
      </c>
      <c r="O13" s="129">
        <v>11883</v>
      </c>
      <c r="P13" s="130">
        <v>0.29209778247177148</v>
      </c>
      <c r="Q13" s="70">
        <v>2234278</v>
      </c>
      <c r="S13" s="325" t="s">
        <v>282</v>
      </c>
      <c r="T13" s="326">
        <v>14135</v>
      </c>
      <c r="U13" s="327">
        <v>3182</v>
      </c>
      <c r="V13" s="328">
        <v>17317</v>
      </c>
      <c r="W13" s="326">
        <v>69885</v>
      </c>
      <c r="X13" s="327">
        <v>11883</v>
      </c>
      <c r="Y13" s="328">
        <v>81768</v>
      </c>
      <c r="Z13" s="327">
        <v>99085</v>
      </c>
      <c r="AA13" s="329">
        <v>0.17499999999999999</v>
      </c>
    </row>
    <row r="14" spans="2:27" ht="14.4" x14ac:dyDescent="0.55000000000000004">
      <c r="B14" s="81" t="s">
        <v>283</v>
      </c>
      <c r="C14" s="142">
        <v>13617</v>
      </c>
      <c r="D14" s="142">
        <v>83420</v>
      </c>
      <c r="E14" s="142">
        <v>0</v>
      </c>
      <c r="F14" s="128">
        <v>97037</v>
      </c>
      <c r="G14" s="127">
        <v>5777</v>
      </c>
      <c r="H14" s="128">
        <v>25566</v>
      </c>
      <c r="I14" s="128">
        <v>0</v>
      </c>
      <c r="J14" s="128">
        <v>31343</v>
      </c>
      <c r="K14" s="128">
        <v>128380</v>
      </c>
      <c r="L14" s="128">
        <v>19394</v>
      </c>
      <c r="M14" s="128">
        <v>108986</v>
      </c>
      <c r="N14" s="129">
        <v>83420</v>
      </c>
      <c r="O14" s="129">
        <v>25566</v>
      </c>
      <c r="P14" s="130">
        <v>0.39985726627352292</v>
      </c>
      <c r="Q14" s="70">
        <v>3056902</v>
      </c>
      <c r="S14" s="325" t="s">
        <v>283</v>
      </c>
      <c r="T14" s="326">
        <v>13617</v>
      </c>
      <c r="U14" s="327">
        <v>5777</v>
      </c>
      <c r="V14" s="328">
        <v>19394</v>
      </c>
      <c r="W14" s="326">
        <v>83420</v>
      </c>
      <c r="X14" s="327">
        <v>25566</v>
      </c>
      <c r="Y14" s="328">
        <v>108986</v>
      </c>
      <c r="Z14" s="327">
        <v>128380</v>
      </c>
      <c r="AA14" s="329">
        <v>0.151</v>
      </c>
    </row>
    <row r="15" spans="2:27" ht="14.4" x14ac:dyDescent="0.55000000000000004">
      <c r="B15" s="81" t="s">
        <v>284</v>
      </c>
      <c r="C15" s="142">
        <v>7332</v>
      </c>
      <c r="D15" s="142">
        <v>34657</v>
      </c>
      <c r="E15" s="142">
        <v>0</v>
      </c>
      <c r="F15" s="128">
        <v>41989</v>
      </c>
      <c r="G15" s="127">
        <v>1790</v>
      </c>
      <c r="H15" s="128">
        <v>15895</v>
      </c>
      <c r="I15" s="128">
        <v>0</v>
      </c>
      <c r="J15" s="128">
        <v>17685</v>
      </c>
      <c r="K15" s="128">
        <v>59674</v>
      </c>
      <c r="L15" s="128">
        <v>9122</v>
      </c>
      <c r="M15" s="128">
        <v>50552</v>
      </c>
      <c r="N15" s="129">
        <v>34657</v>
      </c>
      <c r="O15" s="129">
        <v>15895</v>
      </c>
      <c r="P15" s="130">
        <v>0.42340708557280199</v>
      </c>
      <c r="Q15" s="70">
        <v>4080908</v>
      </c>
      <c r="S15" s="325" t="s">
        <v>284</v>
      </c>
      <c r="T15" s="326">
        <v>7332</v>
      </c>
      <c r="U15" s="327">
        <v>1790</v>
      </c>
      <c r="V15" s="328">
        <v>9122</v>
      </c>
      <c r="W15" s="326">
        <v>34657</v>
      </c>
      <c r="X15" s="327">
        <v>15895</v>
      </c>
      <c r="Y15" s="328">
        <v>50552</v>
      </c>
      <c r="Z15" s="327">
        <v>59674</v>
      </c>
      <c r="AA15" s="329">
        <v>0.153</v>
      </c>
    </row>
    <row r="16" spans="2:27" ht="14.4" x14ac:dyDescent="0.55000000000000004">
      <c r="B16" s="81" t="s">
        <v>285</v>
      </c>
      <c r="C16" s="142">
        <v>5873</v>
      </c>
      <c r="D16" s="142">
        <v>31956</v>
      </c>
      <c r="E16" s="142">
        <v>0</v>
      </c>
      <c r="F16" s="128">
        <v>37829</v>
      </c>
      <c r="G16" s="127">
        <v>2231</v>
      </c>
      <c r="H16" s="128">
        <v>7178</v>
      </c>
      <c r="I16" s="128">
        <v>0</v>
      </c>
      <c r="J16" s="128">
        <v>9409</v>
      </c>
      <c r="K16" s="128">
        <v>47238</v>
      </c>
      <c r="L16" s="128">
        <v>8104</v>
      </c>
      <c r="M16" s="128">
        <v>39134</v>
      </c>
      <c r="N16" s="129">
        <v>31956</v>
      </c>
      <c r="O16" s="129">
        <v>7178</v>
      </c>
      <c r="P16" s="130">
        <v>0.37540066122812943</v>
      </c>
      <c r="Q16" s="70">
        <v>3953121</v>
      </c>
      <c r="S16" s="325" t="s">
        <v>285</v>
      </c>
      <c r="T16" s="326">
        <v>5873</v>
      </c>
      <c r="U16" s="327">
        <v>2231</v>
      </c>
      <c r="V16" s="328">
        <v>8104</v>
      </c>
      <c r="W16" s="326">
        <v>31956</v>
      </c>
      <c r="X16" s="327">
        <v>7178</v>
      </c>
      <c r="Y16" s="328">
        <v>39134</v>
      </c>
      <c r="Z16" s="327">
        <v>47238</v>
      </c>
      <c r="AA16" s="329">
        <v>0.17199999999999999</v>
      </c>
    </row>
    <row r="17" spans="2:27" ht="14.4" x14ac:dyDescent="0.55000000000000004">
      <c r="B17" s="81" t="s">
        <v>286</v>
      </c>
      <c r="C17" s="142">
        <v>6721</v>
      </c>
      <c r="D17" s="142">
        <v>62773</v>
      </c>
      <c r="E17" s="142">
        <v>0</v>
      </c>
      <c r="F17" s="128">
        <v>69494</v>
      </c>
      <c r="G17" s="127">
        <v>1334</v>
      </c>
      <c r="H17" s="128">
        <v>8317</v>
      </c>
      <c r="I17" s="128">
        <v>0</v>
      </c>
      <c r="J17" s="128">
        <v>9651</v>
      </c>
      <c r="K17" s="128">
        <v>79145</v>
      </c>
      <c r="L17" s="128">
        <v>8055</v>
      </c>
      <c r="M17" s="128">
        <v>71090</v>
      </c>
      <c r="N17" s="129">
        <v>62773</v>
      </c>
      <c r="O17" s="129">
        <v>8317</v>
      </c>
      <c r="P17" s="130">
        <v>0.38196017890260503</v>
      </c>
      <c r="Q17" s="70">
        <v>3725093</v>
      </c>
      <c r="S17" s="325" t="s">
        <v>286</v>
      </c>
      <c r="T17" s="326">
        <v>6721</v>
      </c>
      <c r="U17" s="327">
        <v>1334</v>
      </c>
      <c r="V17" s="328">
        <v>8055</v>
      </c>
      <c r="W17" s="326">
        <v>62773</v>
      </c>
      <c r="X17" s="327">
        <v>8317</v>
      </c>
      <c r="Y17" s="328">
        <v>71090</v>
      </c>
      <c r="Z17" s="327">
        <v>79145</v>
      </c>
      <c r="AA17" s="329">
        <v>0.10199999999999999</v>
      </c>
    </row>
    <row r="18" spans="2:27" ht="14.4" x14ac:dyDescent="0.55000000000000004">
      <c r="B18" s="81" t="s">
        <v>287</v>
      </c>
      <c r="C18" s="142">
        <v>5980</v>
      </c>
      <c r="D18" s="142">
        <v>67075</v>
      </c>
      <c r="E18" s="142">
        <v>0</v>
      </c>
      <c r="F18" s="128">
        <v>73055</v>
      </c>
      <c r="G18" s="127">
        <v>1645</v>
      </c>
      <c r="H18" s="128">
        <v>12211</v>
      </c>
      <c r="I18" s="128">
        <v>0</v>
      </c>
      <c r="J18" s="128">
        <v>13856</v>
      </c>
      <c r="K18" s="128">
        <v>86911</v>
      </c>
      <c r="L18" s="128">
        <v>7625</v>
      </c>
      <c r="M18" s="128">
        <v>79286</v>
      </c>
      <c r="N18" s="129">
        <v>67075</v>
      </c>
      <c r="O18" s="129">
        <v>12211</v>
      </c>
      <c r="P18" s="130">
        <v>0.37788722000442343</v>
      </c>
      <c r="Q18" s="70">
        <v>3451312</v>
      </c>
      <c r="S18" s="325" t="s">
        <v>287</v>
      </c>
      <c r="T18" s="326">
        <v>5980</v>
      </c>
      <c r="U18" s="327">
        <v>1645</v>
      </c>
      <c r="V18" s="328">
        <v>7625</v>
      </c>
      <c r="W18" s="326">
        <v>67075</v>
      </c>
      <c r="X18" s="327">
        <v>12211</v>
      </c>
      <c r="Y18" s="328">
        <v>79286</v>
      </c>
      <c r="Z18" s="327">
        <v>86911</v>
      </c>
      <c r="AA18" s="329">
        <v>8.7999999999999995E-2</v>
      </c>
    </row>
    <row r="19" spans="2:27" ht="14.4" x14ac:dyDescent="0.55000000000000004">
      <c r="B19" s="81" t="s">
        <v>288</v>
      </c>
      <c r="C19" s="142">
        <v>7424</v>
      </c>
      <c r="D19" s="142">
        <v>67019</v>
      </c>
      <c r="E19" s="142">
        <v>0</v>
      </c>
      <c r="F19" s="128">
        <v>74443</v>
      </c>
      <c r="G19" s="127">
        <v>1325</v>
      </c>
      <c r="H19" s="128">
        <v>10878</v>
      </c>
      <c r="I19" s="128">
        <v>0</v>
      </c>
      <c r="J19" s="128">
        <v>12203</v>
      </c>
      <c r="K19" s="128">
        <v>86646</v>
      </c>
      <c r="L19" s="128">
        <v>8749</v>
      </c>
      <c r="M19" s="128">
        <v>77897</v>
      </c>
      <c r="N19" s="129">
        <v>67019</v>
      </c>
      <c r="O19" s="129">
        <v>10878</v>
      </c>
      <c r="P19" s="130">
        <v>0.42391395306130225</v>
      </c>
      <c r="Q19" s="70">
        <v>4427504</v>
      </c>
      <c r="S19" s="325" t="s">
        <v>288</v>
      </c>
      <c r="T19" s="326">
        <v>7424</v>
      </c>
      <c r="U19" s="327">
        <v>1325</v>
      </c>
      <c r="V19" s="328">
        <v>8749</v>
      </c>
      <c r="W19" s="326">
        <v>67019</v>
      </c>
      <c r="X19" s="327">
        <v>10878</v>
      </c>
      <c r="Y19" s="328">
        <v>77897</v>
      </c>
      <c r="Z19" s="327">
        <v>86646</v>
      </c>
      <c r="AA19" s="329">
        <v>0.10100000000000001</v>
      </c>
    </row>
    <row r="20" spans="2:27" ht="14.4" x14ac:dyDescent="0.55000000000000004">
      <c r="B20" s="81" t="s">
        <v>289</v>
      </c>
      <c r="C20" s="142">
        <v>7074</v>
      </c>
      <c r="D20" s="142">
        <v>43832</v>
      </c>
      <c r="E20" s="142">
        <v>0</v>
      </c>
      <c r="F20" s="128">
        <v>50906</v>
      </c>
      <c r="G20" s="127">
        <v>2301</v>
      </c>
      <c r="H20" s="128">
        <v>17455</v>
      </c>
      <c r="I20" s="128">
        <v>0</v>
      </c>
      <c r="J20" s="128">
        <v>19756</v>
      </c>
      <c r="K20" s="128">
        <v>70662</v>
      </c>
      <c r="L20" s="128">
        <v>9375</v>
      </c>
      <c r="M20" s="128">
        <v>61287</v>
      </c>
      <c r="N20" s="129">
        <v>43832</v>
      </c>
      <c r="O20" s="129">
        <v>17455</v>
      </c>
      <c r="P20" s="130">
        <v>0.4232930231770245</v>
      </c>
      <c r="Q20" s="70">
        <v>4337546</v>
      </c>
      <c r="S20" s="325" t="s">
        <v>289</v>
      </c>
      <c r="T20" s="326">
        <v>7074</v>
      </c>
      <c r="U20" s="327">
        <v>2301</v>
      </c>
      <c r="V20" s="328">
        <v>9375</v>
      </c>
      <c r="W20" s="326">
        <v>43832</v>
      </c>
      <c r="X20" s="327">
        <v>17455</v>
      </c>
      <c r="Y20" s="328">
        <v>61287</v>
      </c>
      <c r="Z20" s="327">
        <v>70662</v>
      </c>
      <c r="AA20" s="329">
        <v>0.13300000000000001</v>
      </c>
    </row>
    <row r="21" spans="2:27" ht="14.4" x14ac:dyDescent="0.55000000000000004">
      <c r="B21" s="81" t="s">
        <v>290</v>
      </c>
      <c r="C21" s="142">
        <v>10184</v>
      </c>
      <c r="D21" s="142">
        <v>54119</v>
      </c>
      <c r="E21" s="142">
        <v>0</v>
      </c>
      <c r="F21" s="128">
        <v>64303</v>
      </c>
      <c r="G21" s="127">
        <v>914</v>
      </c>
      <c r="H21" s="128">
        <v>8834</v>
      </c>
      <c r="I21" s="128">
        <v>0</v>
      </c>
      <c r="J21" s="128">
        <v>9748</v>
      </c>
      <c r="K21" s="128">
        <v>74051</v>
      </c>
      <c r="L21" s="128">
        <v>11098</v>
      </c>
      <c r="M21" s="128">
        <v>62953</v>
      </c>
      <c r="N21" s="129">
        <v>54119</v>
      </c>
      <c r="O21" s="129">
        <v>8834</v>
      </c>
      <c r="P21" s="130">
        <v>0.42350812274271765</v>
      </c>
      <c r="Q21" s="70">
        <v>3886262</v>
      </c>
      <c r="S21" s="325" t="s">
        <v>290</v>
      </c>
      <c r="T21" s="326">
        <v>10184</v>
      </c>
      <c r="U21" s="330">
        <v>914</v>
      </c>
      <c r="V21" s="328">
        <v>11098</v>
      </c>
      <c r="W21" s="326">
        <v>54119</v>
      </c>
      <c r="X21" s="327">
        <v>8834</v>
      </c>
      <c r="Y21" s="328">
        <v>62953</v>
      </c>
      <c r="Z21" s="327">
        <v>74051</v>
      </c>
      <c r="AA21" s="329">
        <v>0.15</v>
      </c>
    </row>
    <row r="22" spans="2:27" ht="14.4" x14ac:dyDescent="0.55000000000000004">
      <c r="B22" s="81" t="s">
        <v>291</v>
      </c>
      <c r="C22" s="142">
        <v>17689</v>
      </c>
      <c r="D22" s="142">
        <v>79589</v>
      </c>
      <c r="E22" s="142">
        <v>10</v>
      </c>
      <c r="F22" s="128">
        <v>97288</v>
      </c>
      <c r="G22" s="127">
        <v>2886</v>
      </c>
      <c r="H22" s="128">
        <v>17128</v>
      </c>
      <c r="I22" s="128">
        <v>0</v>
      </c>
      <c r="J22" s="128">
        <v>20014</v>
      </c>
      <c r="K22" s="128">
        <v>117302</v>
      </c>
      <c r="L22" s="128">
        <v>20575</v>
      </c>
      <c r="M22" s="128">
        <v>96727</v>
      </c>
      <c r="N22" s="129">
        <v>79599</v>
      </c>
      <c r="O22" s="129">
        <v>17128</v>
      </c>
      <c r="P22" s="130">
        <v>0.38818161466289747</v>
      </c>
      <c r="Q22" s="70">
        <v>3816432</v>
      </c>
      <c r="S22" s="325" t="s">
        <v>291</v>
      </c>
      <c r="T22" s="326">
        <v>17689</v>
      </c>
      <c r="U22" s="327">
        <v>2886</v>
      </c>
      <c r="V22" s="328">
        <v>20575</v>
      </c>
      <c r="W22" s="326">
        <v>79599</v>
      </c>
      <c r="X22" s="327">
        <v>17128</v>
      </c>
      <c r="Y22" s="328">
        <v>96727</v>
      </c>
      <c r="Z22" s="327">
        <v>117302</v>
      </c>
      <c r="AA22" s="329">
        <v>0.17499999999999999</v>
      </c>
    </row>
    <row r="23" spans="2:27" ht="14.4" x14ac:dyDescent="0.55000000000000004">
      <c r="B23" s="81" t="s">
        <v>292</v>
      </c>
      <c r="C23" s="142">
        <v>37545</v>
      </c>
      <c r="D23" s="142">
        <v>191091</v>
      </c>
      <c r="E23" s="142">
        <v>5979</v>
      </c>
      <c r="F23" s="128">
        <v>234615</v>
      </c>
      <c r="G23" s="127">
        <v>3174</v>
      </c>
      <c r="H23" s="128">
        <v>30677</v>
      </c>
      <c r="I23" s="128">
        <v>0</v>
      </c>
      <c r="J23" s="128">
        <v>33851</v>
      </c>
      <c r="K23" s="128">
        <v>268466</v>
      </c>
      <c r="L23" s="128">
        <v>40719</v>
      </c>
      <c r="M23" s="128">
        <v>227747</v>
      </c>
      <c r="N23" s="129">
        <v>197070</v>
      </c>
      <c r="O23" s="129">
        <v>30677</v>
      </c>
      <c r="P23" s="130">
        <v>0.40006921518656474</v>
      </c>
      <c r="Q23" s="70">
        <v>3826412</v>
      </c>
      <c r="S23" s="325" t="s">
        <v>292</v>
      </c>
      <c r="T23" s="326">
        <v>37545</v>
      </c>
      <c r="U23" s="327">
        <v>3174</v>
      </c>
      <c r="V23" s="328">
        <v>40719</v>
      </c>
      <c r="W23" s="326">
        <v>197070</v>
      </c>
      <c r="X23" s="327">
        <v>30677</v>
      </c>
      <c r="Y23" s="328">
        <v>227747</v>
      </c>
      <c r="Z23" s="327">
        <v>268466</v>
      </c>
      <c r="AA23" s="329">
        <v>0.152</v>
      </c>
    </row>
    <row r="24" spans="2:27" ht="14.4" x14ac:dyDescent="0.55000000000000004">
      <c r="B24" s="81" t="s">
        <v>293</v>
      </c>
      <c r="C24" s="142">
        <v>28308</v>
      </c>
      <c r="D24" s="142">
        <v>110535</v>
      </c>
      <c r="E24" s="142">
        <v>11734</v>
      </c>
      <c r="F24" s="128">
        <v>150577</v>
      </c>
      <c r="G24" s="127">
        <v>13623</v>
      </c>
      <c r="H24" s="128">
        <v>51358</v>
      </c>
      <c r="I24" s="128">
        <v>6618</v>
      </c>
      <c r="J24" s="128">
        <v>71599</v>
      </c>
      <c r="K24" s="128">
        <v>222176</v>
      </c>
      <c r="L24" s="128">
        <v>41931</v>
      </c>
      <c r="M24" s="128">
        <v>180245</v>
      </c>
      <c r="N24" s="129">
        <v>122269</v>
      </c>
      <c r="O24" s="129">
        <v>57976</v>
      </c>
      <c r="P24" s="130">
        <v>0.3913181770869979</v>
      </c>
      <c r="Q24" s="70">
        <v>3798991</v>
      </c>
      <c r="S24" s="325" t="s">
        <v>293</v>
      </c>
      <c r="T24" s="326">
        <v>28308</v>
      </c>
      <c r="U24" s="327">
        <v>13623</v>
      </c>
      <c r="V24" s="328">
        <v>41931</v>
      </c>
      <c r="W24" s="326">
        <v>122269</v>
      </c>
      <c r="X24" s="327">
        <v>57976</v>
      </c>
      <c r="Y24" s="328">
        <v>180245</v>
      </c>
      <c r="Z24" s="327">
        <v>222176</v>
      </c>
      <c r="AA24" s="329">
        <v>0.189</v>
      </c>
    </row>
    <row r="25" spans="2:27" ht="14.4" x14ac:dyDescent="0.55000000000000004">
      <c r="B25" s="81" t="s">
        <v>294</v>
      </c>
      <c r="C25" s="142">
        <v>21892</v>
      </c>
      <c r="D25" s="142">
        <v>106334</v>
      </c>
      <c r="E25" s="142">
        <v>11840</v>
      </c>
      <c r="F25" s="128">
        <v>140066</v>
      </c>
      <c r="G25" s="127">
        <v>7254</v>
      </c>
      <c r="H25" s="128">
        <v>23058</v>
      </c>
      <c r="I25" s="128">
        <v>2132</v>
      </c>
      <c r="J25" s="128">
        <v>32444</v>
      </c>
      <c r="K25" s="128">
        <v>172510</v>
      </c>
      <c r="L25" s="128">
        <v>29146</v>
      </c>
      <c r="M25" s="128">
        <v>143364</v>
      </c>
      <c r="N25" s="129">
        <v>118174</v>
      </c>
      <c r="O25" s="129">
        <v>25190</v>
      </c>
      <c r="P25" s="130">
        <v>0.37985971202226798</v>
      </c>
      <c r="Q25" s="70">
        <v>3515425</v>
      </c>
      <c r="S25" s="325" t="s">
        <v>294</v>
      </c>
      <c r="T25" s="326">
        <v>21892</v>
      </c>
      <c r="U25" s="327">
        <v>7254</v>
      </c>
      <c r="V25" s="328">
        <v>29146</v>
      </c>
      <c r="W25" s="326">
        <v>118174</v>
      </c>
      <c r="X25" s="327">
        <v>25190</v>
      </c>
      <c r="Y25" s="328">
        <v>143364</v>
      </c>
      <c r="Z25" s="327">
        <v>172510</v>
      </c>
      <c r="AA25" s="329">
        <v>0.16900000000000001</v>
      </c>
    </row>
    <row r="26" spans="2:27" ht="14.4" x14ac:dyDescent="0.55000000000000004">
      <c r="B26" s="81" t="s">
        <v>295</v>
      </c>
      <c r="C26" s="142">
        <v>18297</v>
      </c>
      <c r="D26" s="142">
        <v>94225</v>
      </c>
      <c r="E26" s="142">
        <v>9166</v>
      </c>
      <c r="F26" s="128">
        <v>121688</v>
      </c>
      <c r="G26" s="127">
        <v>4774</v>
      </c>
      <c r="H26" s="128">
        <v>23179</v>
      </c>
      <c r="I26" s="128">
        <v>2005</v>
      </c>
      <c r="J26" s="128">
        <v>29958</v>
      </c>
      <c r="K26" s="128">
        <v>151646</v>
      </c>
      <c r="L26" s="128">
        <v>23071</v>
      </c>
      <c r="M26" s="128">
        <v>128575</v>
      </c>
      <c r="N26" s="129">
        <v>103391</v>
      </c>
      <c r="O26" s="129">
        <v>25184</v>
      </c>
      <c r="P26" s="130">
        <v>0.39458451395463795</v>
      </c>
      <c r="Q26" s="70">
        <v>3676673</v>
      </c>
      <c r="S26" s="325" t="s">
        <v>295</v>
      </c>
      <c r="T26" s="326">
        <v>18297</v>
      </c>
      <c r="U26" s="327">
        <v>4774</v>
      </c>
      <c r="V26" s="328">
        <v>23071</v>
      </c>
      <c r="W26" s="326">
        <v>103391</v>
      </c>
      <c r="X26" s="327">
        <v>25184</v>
      </c>
      <c r="Y26" s="328">
        <v>128575</v>
      </c>
      <c r="Z26" s="327">
        <v>151646</v>
      </c>
      <c r="AA26" s="329">
        <v>0.152</v>
      </c>
    </row>
    <row r="27" spans="2:27" ht="14.4" x14ac:dyDescent="0.55000000000000004">
      <c r="B27" s="81" t="s">
        <v>296</v>
      </c>
      <c r="C27" s="142">
        <v>14586</v>
      </c>
      <c r="D27" s="142">
        <v>96644</v>
      </c>
      <c r="E27" s="142">
        <v>13903</v>
      </c>
      <c r="F27" s="128">
        <v>125133</v>
      </c>
      <c r="G27" s="127">
        <v>3544</v>
      </c>
      <c r="H27" s="128">
        <v>26143</v>
      </c>
      <c r="I27" s="128">
        <v>3345</v>
      </c>
      <c r="J27" s="128">
        <v>33032</v>
      </c>
      <c r="K27" s="128">
        <v>158165</v>
      </c>
      <c r="L27" s="128">
        <v>18130</v>
      </c>
      <c r="M27" s="128">
        <v>140035</v>
      </c>
      <c r="N27" s="129">
        <v>110547</v>
      </c>
      <c r="O27" s="129">
        <v>29488</v>
      </c>
      <c r="P27" s="130">
        <v>0.42160363651221877</v>
      </c>
      <c r="Q27" s="70">
        <v>3982828</v>
      </c>
      <c r="S27" s="325" t="s">
        <v>296</v>
      </c>
      <c r="T27" s="326">
        <v>14586</v>
      </c>
      <c r="U27" s="327">
        <v>3544</v>
      </c>
      <c r="V27" s="328">
        <v>18130</v>
      </c>
      <c r="W27" s="326">
        <v>110547</v>
      </c>
      <c r="X27" s="327">
        <v>29488</v>
      </c>
      <c r="Y27" s="328">
        <v>140035</v>
      </c>
      <c r="Z27" s="327">
        <v>158165</v>
      </c>
      <c r="AA27" s="329">
        <v>0.115</v>
      </c>
    </row>
    <row r="28" spans="2:27" ht="14.4" x14ac:dyDescent="0.55000000000000004">
      <c r="B28" s="81" t="s">
        <v>297</v>
      </c>
      <c r="C28" s="142">
        <v>7877</v>
      </c>
      <c r="D28" s="142">
        <v>85210</v>
      </c>
      <c r="E28" s="142">
        <v>15234</v>
      </c>
      <c r="F28" s="128">
        <v>108321</v>
      </c>
      <c r="G28" s="127">
        <v>1633</v>
      </c>
      <c r="H28" s="128">
        <v>33332</v>
      </c>
      <c r="I28" s="128">
        <v>5880</v>
      </c>
      <c r="J28" s="128">
        <v>40845</v>
      </c>
      <c r="K28" s="128">
        <v>149166</v>
      </c>
      <c r="L28" s="128">
        <v>9510</v>
      </c>
      <c r="M28" s="128">
        <v>139656</v>
      </c>
      <c r="N28" s="129">
        <v>100444</v>
      </c>
      <c r="O28" s="129">
        <v>39212</v>
      </c>
      <c r="P28" s="130">
        <v>0.42054063312755907</v>
      </c>
      <c r="Q28" s="70">
        <v>3718407</v>
      </c>
      <c r="S28" s="325" t="s">
        <v>297</v>
      </c>
      <c r="T28" s="326">
        <v>7877</v>
      </c>
      <c r="U28" s="327">
        <v>1633</v>
      </c>
      <c r="V28" s="328">
        <v>9510</v>
      </c>
      <c r="W28" s="326">
        <v>100444</v>
      </c>
      <c r="X28" s="327">
        <v>39212</v>
      </c>
      <c r="Y28" s="328">
        <v>139656</v>
      </c>
      <c r="Z28" s="327">
        <v>149166</v>
      </c>
      <c r="AA28" s="329">
        <v>6.4000000000000001E-2</v>
      </c>
    </row>
    <row r="29" spans="2:27" ht="14.4" x14ac:dyDescent="0.55000000000000004">
      <c r="B29" s="81" t="s">
        <v>260</v>
      </c>
      <c r="C29" s="142">
        <v>11242</v>
      </c>
      <c r="D29" s="142">
        <v>102374</v>
      </c>
      <c r="E29" s="142">
        <v>14643</v>
      </c>
      <c r="F29" s="128">
        <v>128259</v>
      </c>
      <c r="G29" s="127">
        <v>2924</v>
      </c>
      <c r="H29" s="128">
        <v>20513</v>
      </c>
      <c r="I29" s="128">
        <v>3446</v>
      </c>
      <c r="J29" s="128">
        <v>26883</v>
      </c>
      <c r="K29" s="128">
        <v>155142</v>
      </c>
      <c r="L29" s="128">
        <v>14166</v>
      </c>
      <c r="M29" s="128">
        <v>140976</v>
      </c>
      <c r="N29" s="129">
        <v>117017</v>
      </c>
      <c r="O29" s="129">
        <v>23959</v>
      </c>
      <c r="P29" s="130">
        <v>0.41133374654908778</v>
      </c>
      <c r="Q29" s="70">
        <v>3693932</v>
      </c>
      <c r="S29" s="325" t="s">
        <v>260</v>
      </c>
      <c r="T29" s="326">
        <v>11242</v>
      </c>
      <c r="U29" s="327">
        <v>2924</v>
      </c>
      <c r="V29" s="328">
        <v>14166</v>
      </c>
      <c r="W29" s="326">
        <v>117017</v>
      </c>
      <c r="X29" s="327">
        <v>23959</v>
      </c>
      <c r="Y29" s="328">
        <v>140976</v>
      </c>
      <c r="Z29" s="327">
        <v>155142</v>
      </c>
      <c r="AA29" s="329">
        <v>9.0999999999999998E-2</v>
      </c>
    </row>
    <row r="30" spans="2:27" ht="14.4" x14ac:dyDescent="0.55000000000000004">
      <c r="B30" s="81" t="s">
        <v>261</v>
      </c>
      <c r="C30" s="143">
        <v>18217</v>
      </c>
      <c r="D30" s="143">
        <v>94205</v>
      </c>
      <c r="E30" s="143">
        <v>13078</v>
      </c>
      <c r="F30" s="128">
        <v>125500</v>
      </c>
      <c r="G30" s="127">
        <v>5659</v>
      </c>
      <c r="H30" s="128">
        <v>40713</v>
      </c>
      <c r="I30" s="128">
        <v>6998</v>
      </c>
      <c r="J30" s="128">
        <v>53370</v>
      </c>
      <c r="K30" s="128">
        <v>178870</v>
      </c>
      <c r="L30" s="128">
        <v>23876</v>
      </c>
      <c r="M30" s="128">
        <v>154994</v>
      </c>
      <c r="N30" s="129">
        <v>107283</v>
      </c>
      <c r="O30" s="129">
        <v>47711</v>
      </c>
      <c r="P30" s="130">
        <v>0.42270976418080541</v>
      </c>
      <c r="Q30" s="70">
        <v>3893422</v>
      </c>
      <c r="S30" s="325" t="s">
        <v>261</v>
      </c>
      <c r="T30" s="326">
        <v>18217</v>
      </c>
      <c r="U30" s="327">
        <v>5659</v>
      </c>
      <c r="V30" s="328">
        <v>23876</v>
      </c>
      <c r="W30" s="326">
        <v>107283</v>
      </c>
      <c r="X30" s="327">
        <v>47711</v>
      </c>
      <c r="Y30" s="328">
        <v>154994</v>
      </c>
      <c r="Z30" s="327">
        <v>178870</v>
      </c>
      <c r="AA30" s="329">
        <v>0.13300000000000001</v>
      </c>
    </row>
    <row r="31" spans="2:27" ht="14.4" x14ac:dyDescent="0.55000000000000004">
      <c r="B31" s="81" t="s">
        <v>262</v>
      </c>
      <c r="C31" s="525">
        <v>38210</v>
      </c>
      <c r="D31" s="525">
        <v>231003</v>
      </c>
      <c r="E31" s="525">
        <v>30385</v>
      </c>
      <c r="F31" s="128">
        <v>299598</v>
      </c>
      <c r="G31" s="127">
        <v>4529</v>
      </c>
      <c r="H31" s="128">
        <v>16555</v>
      </c>
      <c r="I31" s="128">
        <v>2700</v>
      </c>
      <c r="J31" s="128">
        <v>23784</v>
      </c>
      <c r="K31" s="128">
        <v>323382</v>
      </c>
      <c r="L31" s="128">
        <v>42739</v>
      </c>
      <c r="M31" s="128">
        <v>280643</v>
      </c>
      <c r="N31" s="129">
        <v>261388</v>
      </c>
      <c r="O31" s="129">
        <v>19255</v>
      </c>
      <c r="P31" s="130">
        <v>0.44099408168002563</v>
      </c>
      <c r="Q31" s="70">
        <v>3834539</v>
      </c>
      <c r="S31" s="325" t="s">
        <v>262</v>
      </c>
      <c r="T31" s="326">
        <v>38210</v>
      </c>
      <c r="U31" s="327">
        <v>4529</v>
      </c>
      <c r="V31" s="328">
        <v>42739</v>
      </c>
      <c r="W31" s="326">
        <v>261388</v>
      </c>
      <c r="X31" s="327">
        <v>19255</v>
      </c>
      <c r="Y31" s="328">
        <v>280643</v>
      </c>
      <c r="Z31" s="327">
        <v>323382</v>
      </c>
      <c r="AA31" s="329">
        <v>0.13200000000000001</v>
      </c>
    </row>
    <row r="32" spans="2:27" ht="14.4" x14ac:dyDescent="0.55000000000000004">
      <c r="B32" s="85" t="s">
        <v>551</v>
      </c>
      <c r="C32" s="142">
        <v>34549</v>
      </c>
      <c r="D32" s="142">
        <v>110749</v>
      </c>
      <c r="E32" s="142">
        <v>17722</v>
      </c>
      <c r="F32" s="128">
        <v>163020</v>
      </c>
      <c r="G32" s="127">
        <v>9584</v>
      </c>
      <c r="H32" s="128">
        <v>31574</v>
      </c>
      <c r="I32" s="128">
        <v>4118</v>
      </c>
      <c r="J32" s="128">
        <v>45276</v>
      </c>
      <c r="K32" s="128">
        <v>208296</v>
      </c>
      <c r="L32" s="128">
        <v>44133</v>
      </c>
      <c r="M32" s="128">
        <v>164163</v>
      </c>
      <c r="N32" s="129">
        <v>128471</v>
      </c>
      <c r="O32" s="129">
        <v>35692</v>
      </c>
      <c r="P32" s="131">
        <v>0.45329686702760347</v>
      </c>
      <c r="Q32" s="70">
        <v>3943034</v>
      </c>
      <c r="S32" s="325" t="s">
        <v>263</v>
      </c>
      <c r="T32" s="326">
        <v>34549</v>
      </c>
      <c r="U32" s="327">
        <v>9584</v>
      </c>
      <c r="V32" s="328">
        <v>44133</v>
      </c>
      <c r="W32" s="326">
        <v>128471</v>
      </c>
      <c r="X32" s="327">
        <v>35692</v>
      </c>
      <c r="Y32" s="328">
        <v>164163</v>
      </c>
      <c r="Z32" s="327">
        <v>208296</v>
      </c>
      <c r="AA32" s="329">
        <v>0.21199999999999999</v>
      </c>
    </row>
    <row r="33" spans="2:27" ht="14.4" x14ac:dyDescent="0.55000000000000004">
      <c r="B33" s="86" t="s">
        <v>264</v>
      </c>
      <c r="C33" s="142">
        <v>35241</v>
      </c>
      <c r="D33" s="142">
        <v>113036</v>
      </c>
      <c r="E33" s="142">
        <v>7931</v>
      </c>
      <c r="F33" s="128">
        <v>156208</v>
      </c>
      <c r="G33" s="127">
        <v>4198</v>
      </c>
      <c r="H33" s="128">
        <v>17801</v>
      </c>
      <c r="I33" s="128">
        <v>2113</v>
      </c>
      <c r="J33" s="128">
        <v>24112</v>
      </c>
      <c r="K33" s="128">
        <v>180320</v>
      </c>
      <c r="L33" s="128">
        <v>39439</v>
      </c>
      <c r="M33" s="128">
        <v>140881</v>
      </c>
      <c r="N33" s="129">
        <v>120967</v>
      </c>
      <c r="O33" s="129">
        <v>19914</v>
      </c>
      <c r="P33" s="130">
        <v>0.4277169724027336</v>
      </c>
      <c r="Q33" s="70">
        <v>3519953</v>
      </c>
      <c r="S33" s="325" t="s">
        <v>264</v>
      </c>
      <c r="T33" s="326">
        <v>35241</v>
      </c>
      <c r="U33" s="327">
        <v>4198</v>
      </c>
      <c r="V33" s="328">
        <v>39439</v>
      </c>
      <c r="W33" s="326">
        <v>120967</v>
      </c>
      <c r="X33" s="327">
        <v>19914</v>
      </c>
      <c r="Y33" s="328">
        <v>140881</v>
      </c>
      <c r="Z33" s="327">
        <v>180320</v>
      </c>
      <c r="AA33" s="329">
        <v>0.219</v>
      </c>
    </row>
    <row r="34" spans="2:27" ht="14.4" x14ac:dyDescent="0.55000000000000004">
      <c r="B34" s="86" t="s">
        <v>265</v>
      </c>
      <c r="C34" s="142">
        <v>19806</v>
      </c>
      <c r="D34" s="142">
        <v>63611</v>
      </c>
      <c r="E34" s="142">
        <v>4767</v>
      </c>
      <c r="F34" s="128">
        <v>88184</v>
      </c>
      <c r="G34" s="127">
        <v>3337</v>
      </c>
      <c r="H34" s="128">
        <v>13695</v>
      </c>
      <c r="I34" s="128">
        <v>3970</v>
      </c>
      <c r="J34" s="128">
        <v>21002</v>
      </c>
      <c r="K34" s="128">
        <v>109186</v>
      </c>
      <c r="L34" s="128">
        <v>23143</v>
      </c>
      <c r="M34" s="128">
        <v>86043</v>
      </c>
      <c r="N34" s="129">
        <v>68378</v>
      </c>
      <c r="O34" s="129">
        <v>17665</v>
      </c>
      <c r="P34" s="130">
        <v>0.386478331592225</v>
      </c>
      <c r="Q34" s="70">
        <v>2945371</v>
      </c>
      <c r="S34" s="325" t="s">
        <v>265</v>
      </c>
      <c r="T34" s="326">
        <v>19806</v>
      </c>
      <c r="U34" s="327">
        <v>3337</v>
      </c>
      <c r="V34" s="328">
        <v>23143</v>
      </c>
      <c r="W34" s="326">
        <v>68378</v>
      </c>
      <c r="X34" s="327">
        <v>17665</v>
      </c>
      <c r="Y34" s="328">
        <v>86043</v>
      </c>
      <c r="Z34" s="327">
        <v>109186</v>
      </c>
      <c r="AA34" s="329">
        <v>0.21199999999999999</v>
      </c>
    </row>
    <row r="35" spans="2:27" ht="14.4" x14ac:dyDescent="0.55000000000000004">
      <c r="B35" s="87" t="s">
        <v>552</v>
      </c>
      <c r="C35" s="142">
        <v>23469</v>
      </c>
      <c r="D35" s="142">
        <v>70332</v>
      </c>
      <c r="E35" s="142">
        <v>5328</v>
      </c>
      <c r="F35" s="128">
        <v>99129</v>
      </c>
      <c r="G35" s="127">
        <v>1886</v>
      </c>
      <c r="H35" s="128">
        <v>5546</v>
      </c>
      <c r="I35" s="128">
        <v>1593</v>
      </c>
      <c r="J35" s="128">
        <v>9025</v>
      </c>
      <c r="K35" s="128">
        <v>108154</v>
      </c>
      <c r="L35" s="128">
        <v>25355</v>
      </c>
      <c r="M35" s="128">
        <v>82799</v>
      </c>
      <c r="N35" s="129">
        <v>75660</v>
      </c>
      <c r="O35" s="129">
        <v>7139</v>
      </c>
      <c r="P35" s="130">
        <v>0.47342456644459535</v>
      </c>
      <c r="Q35" s="70">
        <v>4084760</v>
      </c>
      <c r="S35" s="325" t="s">
        <v>553</v>
      </c>
      <c r="T35" s="326">
        <v>23469</v>
      </c>
      <c r="U35" s="327">
        <v>1886</v>
      </c>
      <c r="V35" s="328">
        <v>25355</v>
      </c>
      <c r="W35" s="326">
        <v>75660</v>
      </c>
      <c r="X35" s="327">
        <v>7139</v>
      </c>
      <c r="Y35" s="328">
        <v>82799</v>
      </c>
      <c r="Z35" s="327">
        <v>108154</v>
      </c>
      <c r="AA35" s="329">
        <v>0.23400000000000001</v>
      </c>
    </row>
    <row r="36" spans="2:27" ht="14.4" x14ac:dyDescent="0.55000000000000004">
      <c r="B36" s="126" t="s">
        <v>266</v>
      </c>
      <c r="C36" s="145">
        <v>38861</v>
      </c>
      <c r="D36" s="145">
        <v>89341</v>
      </c>
      <c r="E36" s="145">
        <v>5755</v>
      </c>
      <c r="F36" s="192">
        <v>133957</v>
      </c>
      <c r="G36" s="145">
        <v>6928</v>
      </c>
      <c r="H36" s="145">
        <v>21067</v>
      </c>
      <c r="I36" s="145">
        <v>3639</v>
      </c>
      <c r="J36" s="185">
        <v>31634</v>
      </c>
      <c r="K36" s="128">
        <v>165591</v>
      </c>
      <c r="L36" s="185">
        <v>45789</v>
      </c>
      <c r="M36" s="185">
        <v>119802</v>
      </c>
      <c r="N36" s="145">
        <v>95096</v>
      </c>
      <c r="O36" s="145">
        <v>24706</v>
      </c>
      <c r="P36" s="144"/>
      <c r="Q36" s="144"/>
      <c r="R36" s="146">
        <f t="shared" ref="R36:R37" si="0">L36/J36</f>
        <v>1.4474615919580198</v>
      </c>
      <c r="S36" s="325" t="s">
        <v>266</v>
      </c>
      <c r="T36" s="326">
        <v>38861</v>
      </c>
      <c r="U36" s="327">
        <v>6928</v>
      </c>
      <c r="V36" s="328">
        <v>45789</v>
      </c>
      <c r="W36" s="326">
        <v>95096</v>
      </c>
      <c r="X36" s="327">
        <v>24706</v>
      </c>
      <c r="Y36" s="328">
        <v>119802</v>
      </c>
      <c r="Z36" s="327">
        <v>165591</v>
      </c>
      <c r="AA36" s="329">
        <v>0.27700000000000002</v>
      </c>
    </row>
    <row r="37" spans="2:27" ht="14.4" x14ac:dyDescent="0.55000000000000004">
      <c r="B37" s="126" t="s">
        <v>267</v>
      </c>
      <c r="C37" s="145">
        <v>32153</v>
      </c>
      <c r="D37" s="145">
        <v>88487</v>
      </c>
      <c r="E37" s="145">
        <v>1978</v>
      </c>
      <c r="F37" s="192">
        <v>122618</v>
      </c>
      <c r="G37" s="145">
        <v>4267</v>
      </c>
      <c r="H37" s="145">
        <v>8429</v>
      </c>
      <c r="I37" s="145">
        <v>374</v>
      </c>
      <c r="J37" s="185">
        <v>13070</v>
      </c>
      <c r="K37" s="128">
        <v>135688</v>
      </c>
      <c r="L37" s="185">
        <v>36420</v>
      </c>
      <c r="M37" s="185">
        <v>99268</v>
      </c>
      <c r="N37" s="145">
        <v>90465</v>
      </c>
      <c r="O37" s="145">
        <v>8803</v>
      </c>
      <c r="P37" s="144"/>
      <c r="Q37" s="144"/>
      <c r="R37" s="146">
        <f t="shared" si="0"/>
        <v>2.7865340474368785</v>
      </c>
      <c r="S37" s="331" t="s">
        <v>267</v>
      </c>
      <c r="T37" s="463">
        <v>30806</v>
      </c>
      <c r="U37" s="464">
        <v>3130</v>
      </c>
      <c r="V37" s="465">
        <v>33936</v>
      </c>
      <c r="W37" s="463">
        <v>92341</v>
      </c>
      <c r="X37" s="464">
        <v>9873</v>
      </c>
      <c r="Y37" s="466">
        <v>102214</v>
      </c>
      <c r="Z37" s="464">
        <v>136150</v>
      </c>
      <c r="AA37" s="332">
        <v>0.25800000000000001</v>
      </c>
    </row>
    <row r="38" spans="2:27" ht="14.4" x14ac:dyDescent="0.55000000000000004">
      <c r="K38" s="128"/>
      <c r="S38" s="331" t="s">
        <v>268</v>
      </c>
      <c r="T38" s="463">
        <v>12575</v>
      </c>
      <c r="U38" s="464">
        <v>3001</v>
      </c>
      <c r="V38" s="465">
        <v>15576</v>
      </c>
      <c r="W38" s="463">
        <v>56381</v>
      </c>
      <c r="X38" s="464">
        <v>29869</v>
      </c>
      <c r="Y38" s="466">
        <v>86250</v>
      </c>
      <c r="Z38" s="464">
        <v>101826</v>
      </c>
    </row>
    <row r="39" spans="2:27" ht="14.4" x14ac:dyDescent="0.55000000000000004">
      <c r="B39" t="s">
        <v>554</v>
      </c>
      <c r="C39" s="2">
        <f>AVERAGE(C10:C28)</f>
        <v>13788.263157894737</v>
      </c>
      <c r="G39" s="2">
        <f>AVERAGE(G10:G28)</f>
        <v>3922.4210526315787</v>
      </c>
      <c r="S39" s="331" t="s">
        <v>271</v>
      </c>
      <c r="T39" s="463">
        <v>10178.904175609074</v>
      </c>
      <c r="U39" s="464">
        <v>361.50149363804167</v>
      </c>
      <c r="V39" s="465">
        <v>10540.405669247115</v>
      </c>
      <c r="W39" s="463">
        <v>55031.782194921187</v>
      </c>
      <c r="X39" s="464">
        <v>3995.8932169127729</v>
      </c>
      <c r="Y39" s="466">
        <v>59027.67541183396</v>
      </c>
      <c r="Z39" s="464">
        <v>69568.08108108108</v>
      </c>
    </row>
  </sheetData>
  <mergeCells count="2">
    <mergeCell ref="M6:O6"/>
    <mergeCell ref="P6:P7"/>
  </mergeCells>
  <pageMargins left="0.7" right="0.7" top="0.75" bottom="0.75" header="0.3" footer="0.3"/>
  <legacy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>
    <tabColor rgb="FF00B050"/>
  </sheetPr>
  <dimension ref="C2:AW55"/>
  <sheetViews>
    <sheetView workbookViewId="0">
      <selection activeCell="C2" sqref="C2"/>
    </sheetView>
  </sheetViews>
  <sheetFormatPr defaultRowHeight="12.9" x14ac:dyDescent="0.5"/>
  <sheetData>
    <row r="2" spans="3:49" x14ac:dyDescent="0.5">
      <c r="C2" s="153" t="s">
        <v>555</v>
      </c>
    </row>
    <row r="3" spans="3:49" x14ac:dyDescent="0.5">
      <c r="C3" t="s">
        <v>556</v>
      </c>
      <c r="AC3" s="2"/>
      <c r="AD3" s="2"/>
      <c r="AE3" s="2" t="s">
        <v>588</v>
      </c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3:49" x14ac:dyDescent="0.5">
      <c r="D4" t="s">
        <v>557</v>
      </c>
      <c r="G4" t="s">
        <v>182</v>
      </c>
      <c r="J4" t="s">
        <v>183</v>
      </c>
      <c r="M4" t="s">
        <v>558</v>
      </c>
      <c r="P4" t="s">
        <v>559</v>
      </c>
      <c r="Q4" t="s">
        <v>209</v>
      </c>
      <c r="AC4" s="2"/>
      <c r="AD4" s="2"/>
      <c r="AE4" s="2" t="s">
        <v>589</v>
      </c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3:49" x14ac:dyDescent="0.5">
      <c r="C5" t="s">
        <v>55</v>
      </c>
      <c r="D5" t="s">
        <v>181</v>
      </c>
      <c r="E5" t="s">
        <v>246</v>
      </c>
      <c r="F5" t="s">
        <v>71</v>
      </c>
      <c r="G5" t="s">
        <v>181</v>
      </c>
      <c r="H5" t="s">
        <v>246</v>
      </c>
      <c r="I5" t="s">
        <v>71</v>
      </c>
      <c r="J5" t="s">
        <v>181</v>
      </c>
      <c r="K5" t="s">
        <v>246</v>
      </c>
      <c r="L5" t="s">
        <v>71</v>
      </c>
      <c r="M5" t="s">
        <v>181</v>
      </c>
      <c r="N5" t="s">
        <v>246</v>
      </c>
      <c r="O5" t="s">
        <v>71</v>
      </c>
      <c r="Q5" t="s">
        <v>560</v>
      </c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3:49" x14ac:dyDescent="0.5">
      <c r="C6">
        <v>1984</v>
      </c>
      <c r="D6" s="2">
        <v>18290</v>
      </c>
      <c r="E6" s="2">
        <v>2490</v>
      </c>
      <c r="F6" s="2">
        <v>20780</v>
      </c>
      <c r="G6" s="16">
        <v>143304.11327730853</v>
      </c>
      <c r="H6" s="16">
        <v>52447</v>
      </c>
      <c r="I6" s="2">
        <v>195751.11327730853</v>
      </c>
      <c r="J6" s="2">
        <v>84243.181922691481</v>
      </c>
      <c r="K6" s="2">
        <v>13768.190168615778</v>
      </c>
      <c r="L6" s="2">
        <v>98011.372091307261</v>
      </c>
      <c r="M6" s="2">
        <v>227547.29519999999</v>
      </c>
      <c r="N6" s="2">
        <v>66215.19016861578</v>
      </c>
      <c r="O6" s="2">
        <v>293762.48536861577</v>
      </c>
      <c r="P6" s="2">
        <v>314542.48536861577</v>
      </c>
      <c r="Q6" s="88">
        <v>0.14047543539936724</v>
      </c>
      <c r="AC6" s="2" t="s">
        <v>556</v>
      </c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T6" t="s">
        <v>590</v>
      </c>
      <c r="AV6" t="s">
        <v>591</v>
      </c>
      <c r="AW6" t="s">
        <v>592</v>
      </c>
    </row>
    <row r="7" spans="3:49" x14ac:dyDescent="0.5">
      <c r="C7">
        <v>1985</v>
      </c>
      <c r="D7" s="2">
        <v>16300</v>
      </c>
      <c r="E7" s="2">
        <v>3690</v>
      </c>
      <c r="F7" s="2">
        <v>19990</v>
      </c>
      <c r="G7" s="16">
        <v>229581.64755351303</v>
      </c>
      <c r="H7" s="16">
        <v>51922.000000000051</v>
      </c>
      <c r="I7" s="2">
        <v>281503.64755351306</v>
      </c>
      <c r="J7" s="2">
        <v>27884.739746486925</v>
      </c>
      <c r="K7" s="2">
        <v>12985.757838800006</v>
      </c>
      <c r="L7" s="2">
        <v>40870.497585286932</v>
      </c>
      <c r="M7" s="2">
        <v>257466.38729999994</v>
      </c>
      <c r="N7" s="2">
        <v>64907.757838800055</v>
      </c>
      <c r="O7" s="2">
        <v>322374.14513879997</v>
      </c>
      <c r="P7" s="2">
        <v>342364.14513879997</v>
      </c>
      <c r="Q7" s="88">
        <v>0.31772937952864022</v>
      </c>
      <c r="Z7" t="s">
        <v>557</v>
      </c>
      <c r="AC7" s="2" t="s">
        <v>593</v>
      </c>
      <c r="AD7" s="2"/>
      <c r="AE7" s="2"/>
      <c r="AF7" s="2"/>
      <c r="AG7" s="2"/>
      <c r="AH7" s="2" t="s">
        <v>594</v>
      </c>
      <c r="AI7" s="2"/>
      <c r="AJ7" s="2"/>
      <c r="AK7" s="2"/>
      <c r="AL7" s="2"/>
      <c r="AM7" s="2" t="s">
        <v>595</v>
      </c>
      <c r="AN7" s="2"/>
      <c r="AO7" s="2"/>
      <c r="AP7" s="2"/>
      <c r="AQ7" s="2"/>
      <c r="AR7" s="2" t="s">
        <v>596</v>
      </c>
      <c r="AS7" t="s">
        <v>597</v>
      </c>
      <c r="AT7" t="s">
        <v>598</v>
      </c>
      <c r="AU7" t="s">
        <v>599</v>
      </c>
      <c r="AV7" t="s">
        <v>600</v>
      </c>
      <c r="AW7" t="s">
        <v>600</v>
      </c>
    </row>
    <row r="8" spans="3:49" x14ac:dyDescent="0.5">
      <c r="C8">
        <v>1986</v>
      </c>
      <c r="D8" s="2">
        <v>19310</v>
      </c>
      <c r="E8" s="2">
        <v>5520</v>
      </c>
      <c r="F8" s="2">
        <v>24830</v>
      </c>
      <c r="G8" s="16">
        <v>230937.50352489005</v>
      </c>
      <c r="H8" s="16">
        <v>56570</v>
      </c>
      <c r="I8" s="2">
        <v>287507.50352489005</v>
      </c>
      <c r="J8" s="2">
        <v>54031.725945109996</v>
      </c>
      <c r="K8" s="2">
        <v>9984.1530219600027</v>
      </c>
      <c r="L8" s="2">
        <v>64015.878967069999</v>
      </c>
      <c r="M8" s="2">
        <v>284969.22947000002</v>
      </c>
      <c r="N8" s="2">
        <v>66554.153021959995</v>
      </c>
      <c r="O8" s="2">
        <v>351523.38249196007</v>
      </c>
      <c r="P8" s="2">
        <v>376353.38249196007</v>
      </c>
      <c r="Q8" s="88">
        <v>0.15596369499348572</v>
      </c>
      <c r="Y8" t="s">
        <v>55</v>
      </c>
      <c r="Z8" t="s">
        <v>181</v>
      </c>
      <c r="AA8" t="s">
        <v>246</v>
      </c>
      <c r="AB8" t="s">
        <v>71</v>
      </c>
      <c r="AC8" s="2" t="s">
        <v>601</v>
      </c>
      <c r="AD8" s="2" t="s">
        <v>602</v>
      </c>
      <c r="AE8" s="2" t="s">
        <v>603</v>
      </c>
      <c r="AF8" s="2" t="s">
        <v>246</v>
      </c>
      <c r="AG8" s="2" t="s">
        <v>71</v>
      </c>
      <c r="AH8" s="2" t="s">
        <v>601</v>
      </c>
      <c r="AI8" s="2" t="s">
        <v>602</v>
      </c>
      <c r="AJ8" s="2" t="s">
        <v>603</v>
      </c>
      <c r="AK8" s="2" t="s">
        <v>246</v>
      </c>
      <c r="AL8" s="2" t="s">
        <v>71</v>
      </c>
      <c r="AM8" s="2" t="s">
        <v>601</v>
      </c>
      <c r="AN8" s="2" t="s">
        <v>602</v>
      </c>
      <c r="AO8" s="2" t="s">
        <v>603</v>
      </c>
      <c r="AP8" s="2" t="s">
        <v>246</v>
      </c>
      <c r="AQ8" s="2" t="s">
        <v>71</v>
      </c>
      <c r="AR8" s="2" t="s">
        <v>604</v>
      </c>
      <c r="AS8" t="s">
        <v>605</v>
      </c>
      <c r="AT8" t="s">
        <v>207</v>
      </c>
      <c r="AU8" t="s">
        <v>606</v>
      </c>
      <c r="AV8" t="s">
        <v>276</v>
      </c>
      <c r="AW8" t="s">
        <v>276</v>
      </c>
    </row>
    <row r="9" spans="3:49" x14ac:dyDescent="0.5">
      <c r="C9">
        <v>1987</v>
      </c>
      <c r="D9" s="2">
        <v>10410</v>
      </c>
      <c r="E9" s="2">
        <v>7380</v>
      </c>
      <c r="F9" s="2">
        <v>17790</v>
      </c>
      <c r="G9" s="16">
        <v>131592.86303001014</v>
      </c>
      <c r="H9" s="16">
        <v>106690</v>
      </c>
      <c r="I9" s="2">
        <v>238282.86303001014</v>
      </c>
      <c r="J9" s="2">
        <v>30969.317959989992</v>
      </c>
      <c r="K9" s="2">
        <v>13989.809412450004</v>
      </c>
      <c r="L9" s="2">
        <v>44959.127372439994</v>
      </c>
      <c r="M9" s="2">
        <v>162562.18099000014</v>
      </c>
      <c r="N9" s="2">
        <v>120679.80941245001</v>
      </c>
      <c r="O9" s="2">
        <v>283241.99040245014</v>
      </c>
      <c r="P9" s="2">
        <v>301031.99040245014</v>
      </c>
      <c r="Q9" s="88">
        <v>0.31116728081839451</v>
      </c>
      <c r="Y9">
        <v>1984</v>
      </c>
      <c r="Z9" s="2">
        <v>18290</v>
      </c>
      <c r="AA9" s="2">
        <v>2490</v>
      </c>
      <c r="AB9" s="2">
        <v>20780</v>
      </c>
      <c r="AC9" s="2"/>
      <c r="AD9" s="2"/>
      <c r="AE9" s="2">
        <v>143304.11327730853</v>
      </c>
      <c r="AF9" s="2">
        <v>52447</v>
      </c>
      <c r="AG9" s="2">
        <v>195751.11327730853</v>
      </c>
      <c r="AH9" s="2"/>
      <c r="AI9" s="2"/>
      <c r="AJ9" s="2">
        <v>84243.181922691481</v>
      </c>
      <c r="AK9" s="2">
        <v>13768.190168615778</v>
      </c>
      <c r="AL9" s="2">
        <v>98011.372091307261</v>
      </c>
      <c r="AM9" s="2"/>
      <c r="AN9" s="2"/>
      <c r="AO9" s="2">
        <v>227547.29519999999</v>
      </c>
      <c r="AP9" s="2">
        <v>66215.19016861578</v>
      </c>
      <c r="AQ9" s="2">
        <v>293762.48536861577</v>
      </c>
      <c r="AR9" s="2">
        <v>314542.48536861577</v>
      </c>
      <c r="AS9" s="533">
        <v>0.33364155388432842</v>
      </c>
      <c r="AT9" s="533">
        <v>0.14047543539936724</v>
      </c>
      <c r="AU9">
        <v>2</v>
      </c>
    </row>
    <row r="10" spans="3:49" x14ac:dyDescent="0.5">
      <c r="C10">
        <v>1988</v>
      </c>
      <c r="D10" s="2">
        <v>18180</v>
      </c>
      <c r="E10" s="2">
        <v>4180</v>
      </c>
      <c r="F10" s="2">
        <v>22360</v>
      </c>
      <c r="G10" s="16">
        <v>108820.02350665999</v>
      </c>
      <c r="H10" s="16">
        <v>64331</v>
      </c>
      <c r="I10" s="2">
        <v>173151.02350665999</v>
      </c>
      <c r="J10" s="2">
        <v>63901.128793339987</v>
      </c>
      <c r="K10" s="2">
        <v>17742.014164760003</v>
      </c>
      <c r="L10" s="2">
        <v>81643.142958099983</v>
      </c>
      <c r="M10" s="2">
        <v>172721.15229999996</v>
      </c>
      <c r="N10" s="2">
        <v>82073.01416476001</v>
      </c>
      <c r="O10" s="2">
        <v>254794.16646475997</v>
      </c>
      <c r="P10" s="2">
        <v>277154.16646475997</v>
      </c>
      <c r="Q10" s="88">
        <v>0.21731174868984857</v>
      </c>
      <c r="Y10">
        <v>1985</v>
      </c>
      <c r="Z10" s="2">
        <v>16300</v>
      </c>
      <c r="AA10" s="2">
        <v>3690</v>
      </c>
      <c r="AB10" s="2">
        <v>19990</v>
      </c>
      <c r="AC10" s="2"/>
      <c r="AD10" s="2"/>
      <c r="AE10" s="2">
        <v>229581.64755351303</v>
      </c>
      <c r="AF10" s="2">
        <v>51922.000000000051</v>
      </c>
      <c r="AG10" s="2">
        <v>281503.64755351306</v>
      </c>
      <c r="AH10" s="2"/>
      <c r="AI10" s="2"/>
      <c r="AJ10" s="2">
        <v>27884.739746486925</v>
      </c>
      <c r="AK10" s="2">
        <v>12985.757838800006</v>
      </c>
      <c r="AL10" s="2">
        <v>40870.497585286932</v>
      </c>
      <c r="AM10" s="2"/>
      <c r="AN10" s="2"/>
      <c r="AO10" s="2">
        <v>257466.38729999994</v>
      </c>
      <c r="AP10" s="2">
        <v>64907.757838800055</v>
      </c>
      <c r="AQ10" s="2">
        <v>322374.14513879997</v>
      </c>
      <c r="AR10" s="2">
        <v>342364.14513879997</v>
      </c>
      <c r="AS10" s="533">
        <v>0.12677970054853471</v>
      </c>
      <c r="AT10" s="533">
        <v>0.31772937952864022</v>
      </c>
      <c r="AU10">
        <v>19</v>
      </c>
    </row>
    <row r="11" spans="3:49" x14ac:dyDescent="0.5">
      <c r="C11">
        <v>1989</v>
      </c>
      <c r="D11" s="2">
        <v>11960</v>
      </c>
      <c r="E11" s="2">
        <v>3770.0000000000005</v>
      </c>
      <c r="F11" s="2">
        <v>15730</v>
      </c>
      <c r="G11" s="16">
        <v>135566.0300472471</v>
      </c>
      <c r="H11" s="16">
        <v>57512.830268419995</v>
      </c>
      <c r="I11" s="2">
        <v>193078.86031566709</v>
      </c>
      <c r="J11" s="2">
        <v>65236.732802752922</v>
      </c>
      <c r="K11" s="2">
        <v>12367.406881580011</v>
      </c>
      <c r="L11" s="2">
        <v>77604.139684332928</v>
      </c>
      <c r="M11" s="2">
        <v>200802.76285000003</v>
      </c>
      <c r="N11" s="2">
        <v>69880.237150000001</v>
      </c>
      <c r="O11" s="2">
        <v>270683</v>
      </c>
      <c r="P11" s="2">
        <v>286413</v>
      </c>
      <c r="Q11" s="88">
        <v>0.15936529844781977</v>
      </c>
      <c r="Y11">
        <v>1986</v>
      </c>
      <c r="Z11" s="2">
        <v>19310</v>
      </c>
      <c r="AA11" s="2">
        <v>5520</v>
      </c>
      <c r="AB11" s="2">
        <v>24830</v>
      </c>
      <c r="AC11" s="2"/>
      <c r="AD11" s="2"/>
      <c r="AE11" s="2">
        <v>230937.50352489005</v>
      </c>
      <c r="AF11" s="2">
        <v>56570</v>
      </c>
      <c r="AG11" s="2">
        <v>287507.50352489005</v>
      </c>
      <c r="AH11" s="2"/>
      <c r="AI11" s="2"/>
      <c r="AJ11" s="2">
        <v>54031.725945109996</v>
      </c>
      <c r="AK11" s="2">
        <v>9984.1530219600027</v>
      </c>
      <c r="AL11" s="2">
        <v>64015.878967069999</v>
      </c>
      <c r="AM11" s="2"/>
      <c r="AN11" s="2"/>
      <c r="AO11" s="2">
        <v>284969.22947000002</v>
      </c>
      <c r="AP11" s="2">
        <v>66554.153021959995</v>
      </c>
      <c r="AQ11" s="2">
        <v>351523.38249196007</v>
      </c>
      <c r="AR11" s="2">
        <v>376353.38249196007</v>
      </c>
      <c r="AS11" s="533">
        <v>0.18210987420882066</v>
      </c>
      <c r="AT11" s="533">
        <v>0.15596369499348572</v>
      </c>
      <c r="AU11">
        <v>9</v>
      </c>
    </row>
    <row r="12" spans="3:49" x14ac:dyDescent="0.5">
      <c r="C12">
        <v>1990</v>
      </c>
      <c r="D12" s="2">
        <v>15019.999999999998</v>
      </c>
      <c r="E12" s="2">
        <v>3690</v>
      </c>
      <c r="F12" s="2">
        <v>18710</v>
      </c>
      <c r="G12" s="16">
        <v>88526.605396850093</v>
      </c>
      <c r="H12" s="16">
        <v>27101.881425839983</v>
      </c>
      <c r="I12" s="2">
        <v>115628.48682269007</v>
      </c>
      <c r="J12" s="2">
        <v>38362.285343150019</v>
      </c>
      <c r="K12" s="2">
        <v>8811.227834159994</v>
      </c>
      <c r="L12" s="2">
        <v>47173.513177310015</v>
      </c>
      <c r="M12" s="2">
        <v>126888.89074000012</v>
      </c>
      <c r="N12" s="2">
        <v>35913.109259999976</v>
      </c>
      <c r="O12" s="2">
        <v>162802.00000000009</v>
      </c>
      <c r="P12" s="2">
        <v>181512.00000000009</v>
      </c>
      <c r="Q12" s="88">
        <v>0.18678337144493418</v>
      </c>
      <c r="Y12">
        <v>1987</v>
      </c>
      <c r="Z12" s="2">
        <v>10410</v>
      </c>
      <c r="AA12" s="2">
        <v>7380</v>
      </c>
      <c r="AB12" s="2">
        <v>17790</v>
      </c>
      <c r="AC12" s="2"/>
      <c r="AD12" s="2"/>
      <c r="AE12" s="2">
        <v>131592.86303001014</v>
      </c>
      <c r="AF12" s="2">
        <v>106690</v>
      </c>
      <c r="AG12" s="2">
        <v>238282.86303001014</v>
      </c>
      <c r="AH12" s="2"/>
      <c r="AI12" s="2"/>
      <c r="AJ12" s="2">
        <v>30969.317959989992</v>
      </c>
      <c r="AK12" s="2">
        <v>13989.809412450004</v>
      </c>
      <c r="AL12" s="2">
        <v>44959.127372439994</v>
      </c>
      <c r="AM12" s="2"/>
      <c r="AN12" s="2"/>
      <c r="AO12" s="2">
        <v>162562.18099000014</v>
      </c>
      <c r="AP12" s="2">
        <v>120679.80941245001</v>
      </c>
      <c r="AQ12" s="2">
        <v>283241.99040245014</v>
      </c>
      <c r="AR12" s="2">
        <v>301031.99040245014</v>
      </c>
      <c r="AS12" s="533">
        <v>0.15873044568200817</v>
      </c>
      <c r="AT12" s="533">
        <v>0.31116728081839451</v>
      </c>
      <c r="AU12">
        <v>15</v>
      </c>
    </row>
    <row r="13" spans="3:49" x14ac:dyDescent="0.5">
      <c r="C13">
        <v>1991</v>
      </c>
      <c r="D13" s="2">
        <v>9660</v>
      </c>
      <c r="E13" s="2">
        <v>1220</v>
      </c>
      <c r="F13" s="2">
        <v>10880</v>
      </c>
      <c r="G13" s="16">
        <v>173783.50870524993</v>
      </c>
      <c r="H13" s="16">
        <v>60264.491766740008</v>
      </c>
      <c r="I13" s="2">
        <v>234048.00047198994</v>
      </c>
      <c r="J13" s="2">
        <v>22057.808304749997</v>
      </c>
      <c r="K13" s="2">
        <v>6207.1912232600016</v>
      </c>
      <c r="L13" s="2">
        <v>28264.999528009997</v>
      </c>
      <c r="M13" s="2">
        <v>195841.31700999994</v>
      </c>
      <c r="N13" s="2">
        <v>66471.682990000016</v>
      </c>
      <c r="O13" s="2">
        <v>262312.99999999994</v>
      </c>
      <c r="P13" s="2">
        <v>273192.99999999994</v>
      </c>
      <c r="Q13" s="88">
        <v>0.21960698131655054</v>
      </c>
      <c r="Y13">
        <v>1988</v>
      </c>
      <c r="Z13" s="2">
        <v>18180</v>
      </c>
      <c r="AA13" s="2">
        <v>4180</v>
      </c>
      <c r="AB13" s="2">
        <v>22360</v>
      </c>
      <c r="AC13" s="2"/>
      <c r="AD13" s="2"/>
      <c r="AE13" s="2">
        <v>108820.02350665999</v>
      </c>
      <c r="AF13" s="2">
        <v>64331</v>
      </c>
      <c r="AG13" s="2">
        <v>173151.02350665999</v>
      </c>
      <c r="AH13" s="2"/>
      <c r="AI13" s="2"/>
      <c r="AJ13" s="2">
        <v>63901.128793339987</v>
      </c>
      <c r="AK13" s="2">
        <v>17742.014164760003</v>
      </c>
      <c r="AL13" s="2">
        <v>81643.142958099983</v>
      </c>
      <c r="AM13" s="2"/>
      <c r="AN13" s="2"/>
      <c r="AO13" s="2">
        <v>172721.15229999996</v>
      </c>
      <c r="AP13" s="2">
        <v>82073.01416476001</v>
      </c>
      <c r="AQ13" s="2">
        <v>254794.16646475997</v>
      </c>
      <c r="AR13" s="2">
        <v>277154.16646475997</v>
      </c>
      <c r="AS13" s="533">
        <v>0.32042783432167732</v>
      </c>
      <c r="AT13" s="533">
        <v>0.21731174868984857</v>
      </c>
      <c r="AU13">
        <v>6</v>
      </c>
    </row>
    <row r="14" spans="3:49" x14ac:dyDescent="0.5">
      <c r="C14">
        <v>1992</v>
      </c>
      <c r="D14" s="2">
        <v>11970</v>
      </c>
      <c r="E14" s="2">
        <v>2940</v>
      </c>
      <c r="F14" s="2">
        <v>14910</v>
      </c>
      <c r="G14" s="16">
        <v>197230.23316607001</v>
      </c>
      <c r="H14" s="16">
        <v>44293.511540740008</v>
      </c>
      <c r="I14" s="2">
        <v>241523.74470681002</v>
      </c>
      <c r="J14" s="2">
        <v>44723.298533930021</v>
      </c>
      <c r="K14" s="2">
        <v>12714.956759259994</v>
      </c>
      <c r="L14" s="2">
        <v>57438.255293190014</v>
      </c>
      <c r="M14" s="2">
        <v>241953.53170000005</v>
      </c>
      <c r="N14" s="2">
        <v>57008.4683</v>
      </c>
      <c r="O14" s="2">
        <v>298962</v>
      </c>
      <c r="P14" s="2">
        <v>313872</v>
      </c>
      <c r="Q14" s="88">
        <v>0.22136739172102785</v>
      </c>
      <c r="Y14">
        <v>1989</v>
      </c>
      <c r="Z14" s="2">
        <v>11960</v>
      </c>
      <c r="AA14" s="2">
        <v>3770.0000000000005</v>
      </c>
      <c r="AB14" s="2">
        <v>15730</v>
      </c>
      <c r="AC14" s="2"/>
      <c r="AD14" s="2"/>
      <c r="AE14" s="2">
        <v>135566.0300472471</v>
      </c>
      <c r="AF14" s="2">
        <v>57512.830268419995</v>
      </c>
      <c r="AG14" s="2">
        <v>193078.86031566709</v>
      </c>
      <c r="AH14" s="2"/>
      <c r="AI14" s="2"/>
      <c r="AJ14" s="2">
        <v>65236.732802752922</v>
      </c>
      <c r="AK14" s="2">
        <v>12367.406881580011</v>
      </c>
      <c r="AL14" s="2">
        <v>77604.139684332928</v>
      </c>
      <c r="AM14" s="2"/>
      <c r="AN14" s="2"/>
      <c r="AO14" s="2">
        <v>200802.76285000003</v>
      </c>
      <c r="AP14" s="2">
        <v>69880.237150000001</v>
      </c>
      <c r="AQ14" s="2">
        <v>270683</v>
      </c>
      <c r="AR14" s="2">
        <v>286413</v>
      </c>
      <c r="AS14" s="533">
        <v>0.28669750107813541</v>
      </c>
      <c r="AT14" s="533">
        <v>0.15936529844781977</v>
      </c>
      <c r="AU14">
        <v>7</v>
      </c>
    </row>
    <row r="15" spans="3:49" x14ac:dyDescent="0.5">
      <c r="C15">
        <v>1993</v>
      </c>
      <c r="D15" s="2">
        <v>13109.999999999998</v>
      </c>
      <c r="E15" s="2">
        <v>1250</v>
      </c>
      <c r="F15" s="2">
        <v>14359.999999999998</v>
      </c>
      <c r="G15" s="16">
        <v>108051.36533016003</v>
      </c>
      <c r="H15" s="16">
        <v>28650.122638230001</v>
      </c>
      <c r="I15" s="2">
        <v>136701.48796839002</v>
      </c>
      <c r="J15" s="2">
        <v>31790.734919839986</v>
      </c>
      <c r="K15" s="2">
        <v>4377.7771117700022</v>
      </c>
      <c r="L15" s="2">
        <v>36168.512031609986</v>
      </c>
      <c r="M15" s="2">
        <v>139842.10025000002</v>
      </c>
      <c r="N15" s="2">
        <v>33027.899750000004</v>
      </c>
      <c r="O15" s="2">
        <v>172870</v>
      </c>
      <c r="P15" s="2">
        <v>187230</v>
      </c>
      <c r="Q15" s="88">
        <v>0.12103835258536436</v>
      </c>
      <c r="Y15">
        <v>1990</v>
      </c>
      <c r="Z15" s="2">
        <v>15019.999999999998</v>
      </c>
      <c r="AA15" s="2">
        <v>3690</v>
      </c>
      <c r="AB15" s="2">
        <v>18710</v>
      </c>
      <c r="AC15" s="2"/>
      <c r="AD15" s="2"/>
      <c r="AE15" s="2">
        <v>88526.605396850093</v>
      </c>
      <c r="AF15" s="2">
        <v>27101.881425839983</v>
      </c>
      <c r="AG15" s="2">
        <v>115628.48682269007</v>
      </c>
      <c r="AH15" s="2"/>
      <c r="AI15" s="2"/>
      <c r="AJ15" s="2">
        <v>38362.285343150019</v>
      </c>
      <c r="AK15" s="2">
        <v>8811.227834159994</v>
      </c>
      <c r="AL15" s="2">
        <v>47173.513177310015</v>
      </c>
      <c r="AM15" s="2"/>
      <c r="AN15" s="2"/>
      <c r="AO15" s="2">
        <v>126888.89074000012</v>
      </c>
      <c r="AP15" s="2">
        <v>35913.109259999976</v>
      </c>
      <c r="AQ15" s="2">
        <v>162802.00000000009</v>
      </c>
      <c r="AR15" s="2">
        <v>181512.00000000009</v>
      </c>
      <c r="AS15" s="533">
        <v>0.28976003474963447</v>
      </c>
      <c r="AT15" s="533">
        <v>0.18678337144493418</v>
      </c>
      <c r="AU15">
        <v>13</v>
      </c>
    </row>
    <row r="16" spans="3:49" x14ac:dyDescent="0.5">
      <c r="C16">
        <v>1994</v>
      </c>
      <c r="D16" s="2">
        <v>10950</v>
      </c>
      <c r="E16" s="2">
        <v>1379.9999999999998</v>
      </c>
      <c r="F16" s="2">
        <v>12330</v>
      </c>
      <c r="G16" s="16">
        <v>99758.701056500722</v>
      </c>
      <c r="H16" s="16">
        <v>21211.929504146312</v>
      </c>
      <c r="I16" s="2">
        <v>120970.63056064703</v>
      </c>
      <c r="J16" s="2">
        <v>22311.315443499305</v>
      </c>
      <c r="K16" s="2">
        <v>5152.0539958537001</v>
      </c>
      <c r="L16" s="2">
        <v>27463.369439353006</v>
      </c>
      <c r="M16" s="2">
        <v>122070.01650000003</v>
      </c>
      <c r="N16" s="2">
        <v>26363.983500000013</v>
      </c>
      <c r="O16" s="2">
        <v>148434.00000000003</v>
      </c>
      <c r="P16" s="2">
        <v>160764.00000000003</v>
      </c>
      <c r="Q16" s="88">
        <v>0.18759730146116677</v>
      </c>
      <c r="Y16">
        <v>1991</v>
      </c>
      <c r="Z16" s="2">
        <v>9660</v>
      </c>
      <c r="AA16" s="2">
        <v>1220</v>
      </c>
      <c r="AB16" s="2">
        <v>10880</v>
      </c>
      <c r="AC16" s="2"/>
      <c r="AD16" s="2"/>
      <c r="AE16" s="2">
        <v>173783.50870524993</v>
      </c>
      <c r="AF16" s="2">
        <v>60264.491766740008</v>
      </c>
      <c r="AG16" s="2">
        <v>234048.00047198994</v>
      </c>
      <c r="AH16" s="2"/>
      <c r="AI16" s="2"/>
      <c r="AJ16" s="2">
        <v>22057.808304749997</v>
      </c>
      <c r="AK16" s="2">
        <v>6207.1912232600016</v>
      </c>
      <c r="AL16" s="2">
        <v>28264.999528009997</v>
      </c>
      <c r="AM16" s="2"/>
      <c r="AN16" s="2"/>
      <c r="AO16" s="2">
        <v>195841.31700999994</v>
      </c>
      <c r="AP16" s="2">
        <v>66471.682990000016</v>
      </c>
      <c r="AQ16" s="2">
        <v>262312.99999999994</v>
      </c>
      <c r="AR16" s="2">
        <v>273192.99999999994</v>
      </c>
      <c r="AS16" s="533">
        <v>0.10775294982715307</v>
      </c>
      <c r="AT16" s="533">
        <v>0.21960698131655054</v>
      </c>
      <c r="AU16">
        <v>27</v>
      </c>
    </row>
    <row r="17" spans="3:47" x14ac:dyDescent="0.5">
      <c r="C17">
        <v>1995</v>
      </c>
      <c r="D17" s="2">
        <v>7070</v>
      </c>
      <c r="E17" s="2">
        <v>1150</v>
      </c>
      <c r="F17" s="2">
        <v>8220</v>
      </c>
      <c r="G17" s="16">
        <v>154040.57708871481</v>
      </c>
      <c r="H17" s="16">
        <v>25996.627988442306</v>
      </c>
      <c r="I17" s="2">
        <v>180037.20507715712</v>
      </c>
      <c r="J17" s="2">
        <v>11373.311621285195</v>
      </c>
      <c r="K17" s="2">
        <v>1847.4833015577001</v>
      </c>
      <c r="L17" s="2">
        <v>13220.794922842895</v>
      </c>
      <c r="M17" s="2">
        <v>165413.88871</v>
      </c>
      <c r="N17" s="2">
        <v>27844.111290000004</v>
      </c>
      <c r="O17" s="2">
        <v>193258.00000000003</v>
      </c>
      <c r="P17" s="2">
        <v>201478.00000000003</v>
      </c>
      <c r="Q17" s="88">
        <v>0.13974071244124797</v>
      </c>
      <c r="Y17">
        <v>1992</v>
      </c>
      <c r="Z17" s="2">
        <v>11970</v>
      </c>
      <c r="AA17" s="2">
        <v>2940</v>
      </c>
      <c r="AB17" s="2">
        <v>14910</v>
      </c>
      <c r="AC17" s="2"/>
      <c r="AD17" s="2"/>
      <c r="AE17" s="2">
        <v>197230.23316607001</v>
      </c>
      <c r="AF17" s="2">
        <v>44293.511540740008</v>
      </c>
      <c r="AG17" s="2">
        <v>241523.74470681002</v>
      </c>
      <c r="AH17" s="2"/>
      <c r="AI17" s="2"/>
      <c r="AJ17" s="2">
        <v>44723.298533930021</v>
      </c>
      <c r="AK17" s="2">
        <v>12714.956759259994</v>
      </c>
      <c r="AL17" s="2">
        <v>57438.255293190014</v>
      </c>
      <c r="AM17" s="2"/>
      <c r="AN17" s="2"/>
      <c r="AO17" s="2">
        <v>241953.53170000005</v>
      </c>
      <c r="AP17" s="2">
        <v>57008.4683</v>
      </c>
      <c r="AQ17" s="2">
        <v>298962</v>
      </c>
      <c r="AR17" s="2">
        <v>313872</v>
      </c>
      <c r="AS17" s="533">
        <v>0.19212560557258118</v>
      </c>
      <c r="AT17" s="533">
        <v>0.22136739172102785</v>
      </c>
      <c r="AU17">
        <v>10</v>
      </c>
    </row>
    <row r="18" spans="3:47" ht="13.2" thickBot="1" x14ac:dyDescent="0.55000000000000004">
      <c r="C18">
        <v>1996</v>
      </c>
      <c r="D18" s="2">
        <v>9520</v>
      </c>
      <c r="E18" s="2">
        <v>1310.0000000000002</v>
      </c>
      <c r="F18" s="2">
        <v>10830</v>
      </c>
      <c r="G18" s="16">
        <v>148742.79724213656</v>
      </c>
      <c r="H18" s="16">
        <v>25720.887118837996</v>
      </c>
      <c r="I18" s="2">
        <v>174463.68436097456</v>
      </c>
      <c r="J18" s="2">
        <v>14781.6880778634</v>
      </c>
      <c r="K18" s="2">
        <v>3911.6275611619985</v>
      </c>
      <c r="L18" s="2">
        <v>18693.315639025401</v>
      </c>
      <c r="M18" s="2">
        <v>163524.48531999995</v>
      </c>
      <c r="N18" s="2">
        <v>29632.514679999993</v>
      </c>
      <c r="O18" s="2">
        <v>193156.99999999994</v>
      </c>
      <c r="P18" s="2">
        <v>203986.99999999994</v>
      </c>
      <c r="Q18" s="88">
        <v>0.20925274235437541</v>
      </c>
      <c r="Y18">
        <v>1993</v>
      </c>
      <c r="Z18" s="2">
        <v>13109.999999999998</v>
      </c>
      <c r="AA18" s="2">
        <v>1250</v>
      </c>
      <c r="AB18" s="2">
        <v>14359.999999999998</v>
      </c>
      <c r="AC18" s="2"/>
      <c r="AD18" s="2"/>
      <c r="AE18" s="2">
        <v>108051.36533016003</v>
      </c>
      <c r="AF18" s="2">
        <v>28650.122638230001</v>
      </c>
      <c r="AG18" s="2">
        <v>136701.48796839002</v>
      </c>
      <c r="AH18" s="2"/>
      <c r="AI18" s="2"/>
      <c r="AJ18" s="2">
        <v>31790.734919839986</v>
      </c>
      <c r="AK18" s="2">
        <v>4377.7771117700022</v>
      </c>
      <c r="AL18" s="2">
        <v>36168.512031609986</v>
      </c>
      <c r="AM18" s="2"/>
      <c r="AN18" s="2"/>
      <c r="AO18" s="2">
        <v>139842.10025000002</v>
      </c>
      <c r="AP18" s="2">
        <v>33027.899750000004</v>
      </c>
      <c r="AQ18" s="2">
        <v>172870</v>
      </c>
      <c r="AR18" s="2">
        <v>187230</v>
      </c>
      <c r="AS18" s="533">
        <v>0.2092237637045756</v>
      </c>
      <c r="AT18" s="533">
        <v>0.12103835258536436</v>
      </c>
      <c r="AU18">
        <v>24</v>
      </c>
    </row>
    <row r="19" spans="3:47" x14ac:dyDescent="0.5">
      <c r="C19">
        <v>1997</v>
      </c>
      <c r="D19" s="2">
        <v>10960</v>
      </c>
      <c r="E19" s="2">
        <v>930</v>
      </c>
      <c r="F19" s="2">
        <v>11890</v>
      </c>
      <c r="G19" s="16">
        <v>177357.70443324183</v>
      </c>
      <c r="H19" s="16">
        <v>30851.745530105283</v>
      </c>
      <c r="I19" s="2">
        <v>208209.44996334711</v>
      </c>
      <c r="J19" s="2">
        <v>32749.523016758158</v>
      </c>
      <c r="K19" s="2">
        <v>3913.0270198947146</v>
      </c>
      <c r="L19" s="2">
        <v>36662.550036652872</v>
      </c>
      <c r="M19" s="2">
        <v>210107.22744999998</v>
      </c>
      <c r="N19" s="2">
        <v>34764.772549999994</v>
      </c>
      <c r="O19" s="2">
        <v>244872</v>
      </c>
      <c r="P19" s="2">
        <v>256762</v>
      </c>
      <c r="Q19" s="88">
        <v>0.10673090158711603</v>
      </c>
      <c r="U19" s="91"/>
      <c r="V19" s="92">
        <v>2014</v>
      </c>
      <c r="W19" s="93">
        <v>2014</v>
      </c>
      <c r="Y19">
        <v>1994</v>
      </c>
      <c r="Z19" s="2">
        <v>10950</v>
      </c>
      <c r="AA19" s="2">
        <v>1379.9999999999998</v>
      </c>
      <c r="AB19" s="2">
        <v>12330</v>
      </c>
      <c r="AC19" s="2"/>
      <c r="AD19" s="2"/>
      <c r="AE19" s="2">
        <v>99758.701056500722</v>
      </c>
      <c r="AF19" s="2">
        <v>21211.929504146312</v>
      </c>
      <c r="AG19" s="2">
        <v>120970.63056064703</v>
      </c>
      <c r="AH19" s="2"/>
      <c r="AI19" s="2"/>
      <c r="AJ19" s="2">
        <v>22311.315443499305</v>
      </c>
      <c r="AK19" s="2">
        <v>5152.0539958537001</v>
      </c>
      <c r="AL19" s="2">
        <v>27463.369439353006</v>
      </c>
      <c r="AM19" s="2"/>
      <c r="AN19" s="2"/>
      <c r="AO19" s="2">
        <v>122070.01650000003</v>
      </c>
      <c r="AP19" s="2">
        <v>26363.983500000013</v>
      </c>
      <c r="AQ19" s="2">
        <v>148434.00000000003</v>
      </c>
      <c r="AR19" s="2">
        <v>160764.00000000003</v>
      </c>
      <c r="AS19" s="533">
        <v>0.18502074618586711</v>
      </c>
      <c r="AT19" s="533">
        <v>0.18759730146116677</v>
      </c>
      <c r="AU19">
        <v>28</v>
      </c>
    </row>
    <row r="20" spans="3:47" ht="13.2" thickBot="1" x14ac:dyDescent="0.55000000000000004">
      <c r="C20">
        <v>1998</v>
      </c>
      <c r="D20" s="2">
        <v>7830</v>
      </c>
      <c r="E20" s="2">
        <v>1610.0000000000002</v>
      </c>
      <c r="F20" s="2">
        <v>9440</v>
      </c>
      <c r="G20" s="16">
        <v>99851.01943036</v>
      </c>
      <c r="H20" s="16">
        <v>34835.653147929806</v>
      </c>
      <c r="I20" s="2">
        <v>134686.67257828981</v>
      </c>
      <c r="J20" s="2">
        <v>36826.417949640003</v>
      </c>
      <c r="K20" s="2">
        <v>3414.9094720702014</v>
      </c>
      <c r="L20" s="2">
        <v>40241.327421710201</v>
      </c>
      <c r="M20" s="2">
        <v>136677.43738000002</v>
      </c>
      <c r="N20" s="2">
        <v>38250.562620000012</v>
      </c>
      <c r="O20" s="2">
        <v>174928</v>
      </c>
      <c r="P20" s="2">
        <v>184368</v>
      </c>
      <c r="Q20" s="88">
        <v>8.4860756114815875E-2</v>
      </c>
      <c r="U20" s="94"/>
      <c r="V20" s="95" t="s">
        <v>179</v>
      </c>
      <c r="W20" s="96" t="s">
        <v>131</v>
      </c>
      <c r="Y20">
        <v>1995</v>
      </c>
      <c r="Z20" s="2">
        <v>7070</v>
      </c>
      <c r="AA20" s="2">
        <v>1150</v>
      </c>
      <c r="AB20" s="2">
        <v>8220</v>
      </c>
      <c r="AC20" s="2"/>
      <c r="AD20" s="2"/>
      <c r="AE20" s="2">
        <v>154040.57708871481</v>
      </c>
      <c r="AF20" s="2">
        <v>25996.627988442306</v>
      </c>
      <c r="AG20" s="2">
        <v>180037.20507715712</v>
      </c>
      <c r="AH20" s="2"/>
      <c r="AI20" s="2"/>
      <c r="AJ20" s="2">
        <v>11373.311621285195</v>
      </c>
      <c r="AK20" s="2">
        <v>1847.4833015577001</v>
      </c>
      <c r="AL20" s="2">
        <v>13220.794922842895</v>
      </c>
      <c r="AM20" s="2"/>
      <c r="AN20" s="2"/>
      <c r="AO20" s="2">
        <v>165413.88871</v>
      </c>
      <c r="AP20" s="2">
        <v>27844.111290000004</v>
      </c>
      <c r="AQ20" s="2">
        <v>193258.00000000003</v>
      </c>
      <c r="AR20" s="2">
        <v>201478.00000000003</v>
      </c>
      <c r="AS20" s="533">
        <v>6.8410078355581105E-2</v>
      </c>
      <c r="AT20" s="533">
        <v>0.13974071244124797</v>
      </c>
      <c r="AU20">
        <v>33</v>
      </c>
    </row>
    <row r="21" spans="3:47" x14ac:dyDescent="0.5">
      <c r="C21">
        <v>1999</v>
      </c>
      <c r="D21" s="2">
        <v>5850</v>
      </c>
      <c r="E21" s="2">
        <v>1310</v>
      </c>
      <c r="F21" s="2">
        <v>7160</v>
      </c>
      <c r="G21" s="16">
        <v>119839.89796539006</v>
      </c>
      <c r="H21" s="16">
        <v>56625.77866317999</v>
      </c>
      <c r="I21" s="2">
        <v>176465.67662857004</v>
      </c>
      <c r="J21" s="2">
        <v>18397.438734609994</v>
      </c>
      <c r="K21" s="2">
        <v>3739.8846368200002</v>
      </c>
      <c r="L21" s="2">
        <v>22137.323371429993</v>
      </c>
      <c r="M21" s="2">
        <v>138237.33670000004</v>
      </c>
      <c r="N21" s="2">
        <v>60365.663299999993</v>
      </c>
      <c r="O21" s="2">
        <v>198603.00000000003</v>
      </c>
      <c r="P21" s="2">
        <v>205763.00000000003</v>
      </c>
      <c r="Q21" s="88">
        <v>0.16894023609225603</v>
      </c>
      <c r="U21" s="97" t="s">
        <v>248</v>
      </c>
      <c r="V21" s="98">
        <v>8600</v>
      </c>
      <c r="W21" s="99">
        <v>13526</v>
      </c>
      <c r="Y21">
        <v>1996</v>
      </c>
      <c r="Z21" s="2">
        <v>9520</v>
      </c>
      <c r="AA21" s="2">
        <v>1310.0000000000002</v>
      </c>
      <c r="AB21" s="2">
        <v>10830</v>
      </c>
      <c r="AC21" s="2"/>
      <c r="AD21" s="2"/>
      <c r="AE21" s="2">
        <v>148742.79724213656</v>
      </c>
      <c r="AF21" s="2">
        <v>25720.887118837996</v>
      </c>
      <c r="AG21" s="2">
        <v>174463.68436097456</v>
      </c>
      <c r="AH21" s="2"/>
      <c r="AI21" s="2"/>
      <c r="AJ21" s="2">
        <v>14781.6880778634</v>
      </c>
      <c r="AK21" s="2">
        <v>3911.6275611619985</v>
      </c>
      <c r="AL21" s="2">
        <v>18693.315639025401</v>
      </c>
      <c r="AM21" s="2"/>
      <c r="AN21" s="2"/>
      <c r="AO21" s="2">
        <v>163524.48531999995</v>
      </c>
      <c r="AP21" s="2">
        <v>29632.514679999993</v>
      </c>
      <c r="AQ21" s="2">
        <v>193156.99999999994</v>
      </c>
      <c r="AR21" s="2">
        <v>203986.99999999994</v>
      </c>
      <c r="AS21" s="533">
        <v>9.6777831706981399E-2</v>
      </c>
      <c r="AT21" s="533">
        <v>0.20925274235437541</v>
      </c>
      <c r="AU21">
        <v>31</v>
      </c>
    </row>
    <row r="22" spans="3:47" x14ac:dyDescent="0.5">
      <c r="C22">
        <v>2000</v>
      </c>
      <c r="D22" s="2">
        <v>10891</v>
      </c>
      <c r="E22" s="2">
        <v>5728</v>
      </c>
      <c r="F22" s="2">
        <v>16619</v>
      </c>
      <c r="G22" s="16">
        <v>153094.67972324992</v>
      </c>
      <c r="H22" s="16">
        <v>63628.331702989963</v>
      </c>
      <c r="I22" s="2">
        <v>216723.01142623989</v>
      </c>
      <c r="J22" s="2">
        <v>32540.845176750008</v>
      </c>
      <c r="K22" s="2">
        <v>8368.1433970100024</v>
      </c>
      <c r="L22" s="2">
        <v>40908.988573760013</v>
      </c>
      <c r="M22" s="2">
        <v>185635.52489999993</v>
      </c>
      <c r="N22" s="2">
        <v>71996.475099999967</v>
      </c>
      <c r="O22" s="2">
        <v>257631.99999999988</v>
      </c>
      <c r="P22" s="2">
        <v>274250.99999999988</v>
      </c>
      <c r="Q22" s="88">
        <v>0.20455512807220871</v>
      </c>
      <c r="U22" s="100" t="s">
        <v>181</v>
      </c>
      <c r="V22" s="101">
        <v>6300</v>
      </c>
      <c r="W22" s="102">
        <v>8743</v>
      </c>
      <c r="Y22">
        <v>1997</v>
      </c>
      <c r="Z22" s="2">
        <v>10960</v>
      </c>
      <c r="AA22" s="2">
        <v>930</v>
      </c>
      <c r="AB22" s="2">
        <v>11890</v>
      </c>
      <c r="AC22" s="2"/>
      <c r="AD22" s="2"/>
      <c r="AE22" s="2">
        <v>177357.70443324183</v>
      </c>
      <c r="AF22" s="2">
        <v>30851.745530105283</v>
      </c>
      <c r="AG22" s="2">
        <v>208209.44996334711</v>
      </c>
      <c r="AH22" s="2"/>
      <c r="AI22" s="2"/>
      <c r="AJ22" s="2">
        <v>32749.523016758158</v>
      </c>
      <c r="AK22" s="2">
        <v>3913.0270198947146</v>
      </c>
      <c r="AL22" s="2">
        <v>36662.550036652872</v>
      </c>
      <c r="AM22" s="2"/>
      <c r="AN22" s="2"/>
      <c r="AO22" s="2">
        <v>210107.22744999998</v>
      </c>
      <c r="AP22" s="2">
        <v>34764.772549999994</v>
      </c>
      <c r="AQ22" s="2">
        <v>244872</v>
      </c>
      <c r="AR22" s="2">
        <v>256762</v>
      </c>
      <c r="AS22" s="533">
        <v>0.14972128310567509</v>
      </c>
      <c r="AT22" s="533">
        <v>0.10673090158711603</v>
      </c>
      <c r="AU22">
        <v>23</v>
      </c>
    </row>
    <row r="23" spans="3:47" x14ac:dyDescent="0.5">
      <c r="C23">
        <v>2001</v>
      </c>
      <c r="D23" s="2">
        <v>20773</v>
      </c>
      <c r="E23" s="2">
        <v>7952</v>
      </c>
      <c r="F23" s="2">
        <v>28725</v>
      </c>
      <c r="G23" s="16">
        <v>377849.12863599992</v>
      </c>
      <c r="H23" s="16">
        <v>137230.05416800003</v>
      </c>
      <c r="I23" s="2">
        <v>515079.18280399998</v>
      </c>
      <c r="J23" s="2">
        <v>74378.931363999975</v>
      </c>
      <c r="K23" s="2">
        <v>12046.885832000002</v>
      </c>
      <c r="L23" s="2">
        <v>86425.817195999975</v>
      </c>
      <c r="M23" s="2">
        <v>452228.05999999988</v>
      </c>
      <c r="N23" s="2">
        <v>149276.94000000003</v>
      </c>
      <c r="O23" s="2">
        <v>601505</v>
      </c>
      <c r="P23" s="2">
        <v>630230</v>
      </c>
      <c r="Q23" s="88">
        <v>0.13938989786674028</v>
      </c>
      <c r="U23" s="100" t="s">
        <v>246</v>
      </c>
      <c r="V23" s="101">
        <v>2300</v>
      </c>
      <c r="W23" s="102">
        <v>4783</v>
      </c>
      <c r="Y23">
        <v>1998</v>
      </c>
      <c r="Z23" s="2">
        <v>7830</v>
      </c>
      <c r="AA23" s="2">
        <v>1610.0000000000002</v>
      </c>
      <c r="AB23" s="2">
        <v>9440</v>
      </c>
      <c r="AC23" s="2"/>
      <c r="AD23" s="2"/>
      <c r="AE23" s="2">
        <v>99851.01943036</v>
      </c>
      <c r="AF23" s="2">
        <v>34835.653147929806</v>
      </c>
      <c r="AG23" s="2">
        <v>134686.67257828981</v>
      </c>
      <c r="AH23" s="2"/>
      <c r="AI23" s="2"/>
      <c r="AJ23" s="2">
        <v>36826.417949640003</v>
      </c>
      <c r="AK23" s="2">
        <v>3414.9094720702014</v>
      </c>
      <c r="AL23" s="2">
        <v>40241.327421710201</v>
      </c>
      <c r="AM23" s="2"/>
      <c r="AN23" s="2"/>
      <c r="AO23" s="2">
        <v>136677.43738000002</v>
      </c>
      <c r="AP23" s="2">
        <v>38250.562620000012</v>
      </c>
      <c r="AQ23" s="2">
        <v>174928</v>
      </c>
      <c r="AR23" s="2">
        <v>184368</v>
      </c>
      <c r="AS23" s="533">
        <v>0.23004508953232303</v>
      </c>
      <c r="AT23" s="533">
        <v>8.4860756114815875E-2</v>
      </c>
      <c r="AU23">
        <v>20</v>
      </c>
    </row>
    <row r="24" spans="3:47" x14ac:dyDescent="0.5">
      <c r="C24">
        <v>2002</v>
      </c>
      <c r="D24" s="2">
        <v>15320</v>
      </c>
      <c r="E24" s="2">
        <v>9671</v>
      </c>
      <c r="F24" s="2">
        <v>24991</v>
      </c>
      <c r="G24" s="16">
        <v>235847.83071099993</v>
      </c>
      <c r="H24" s="16">
        <v>87275.896927000053</v>
      </c>
      <c r="I24" s="2">
        <v>323123.72763799998</v>
      </c>
      <c r="J24" s="2">
        <v>97548.937288999994</v>
      </c>
      <c r="K24" s="2">
        <v>32333.335072999998</v>
      </c>
      <c r="L24" s="2">
        <v>129882.27236199999</v>
      </c>
      <c r="M24" s="2">
        <v>333396.76799999992</v>
      </c>
      <c r="N24" s="2">
        <v>119609.23200000005</v>
      </c>
      <c r="O24" s="2">
        <v>453006</v>
      </c>
      <c r="P24" s="2">
        <v>477997</v>
      </c>
      <c r="Q24" s="88">
        <v>0.24894340455395245</v>
      </c>
      <c r="U24" s="97" t="s">
        <v>182</v>
      </c>
      <c r="V24" s="98">
        <v>241400</v>
      </c>
      <c r="W24" s="99">
        <v>260130</v>
      </c>
      <c r="Y24">
        <v>1999</v>
      </c>
      <c r="Z24" s="2">
        <v>5850</v>
      </c>
      <c r="AA24" s="2">
        <v>1310</v>
      </c>
      <c r="AB24" s="2">
        <v>7160</v>
      </c>
      <c r="AC24" s="2"/>
      <c r="AD24" s="2"/>
      <c r="AE24" s="2">
        <v>119839.89796539006</v>
      </c>
      <c r="AF24" s="2">
        <v>56625.77866317999</v>
      </c>
      <c r="AG24" s="2">
        <v>176465.67662857004</v>
      </c>
      <c r="AH24" s="2"/>
      <c r="AI24" s="2"/>
      <c r="AJ24" s="2">
        <v>18397.438734609994</v>
      </c>
      <c r="AK24" s="2">
        <v>3739.8846368200002</v>
      </c>
      <c r="AL24" s="2">
        <v>22137.323371429993</v>
      </c>
      <c r="AM24" s="2"/>
      <c r="AN24" s="2"/>
      <c r="AO24" s="2">
        <v>138237.33670000004</v>
      </c>
      <c r="AP24" s="2">
        <v>60365.663299999993</v>
      </c>
      <c r="AQ24" s="2">
        <v>198603.00000000003</v>
      </c>
      <c r="AR24" s="2">
        <v>205763.00000000003</v>
      </c>
      <c r="AS24" s="533">
        <v>0.11146520128814766</v>
      </c>
      <c r="AT24" s="533">
        <v>0.16894023609225603</v>
      </c>
      <c r="AU24">
        <v>30</v>
      </c>
    </row>
    <row r="25" spans="3:47" x14ac:dyDescent="0.5">
      <c r="C25">
        <v>2003</v>
      </c>
      <c r="D25" s="2">
        <v>12353</v>
      </c>
      <c r="E25" s="2">
        <v>1801</v>
      </c>
      <c r="F25" s="2">
        <v>14154</v>
      </c>
      <c r="G25" s="16">
        <v>238745.20518000002</v>
      </c>
      <c r="H25" s="16">
        <v>67049.356976999916</v>
      </c>
      <c r="I25" s="2">
        <v>305794.56215699995</v>
      </c>
      <c r="J25" s="2">
        <v>30810.985819999987</v>
      </c>
      <c r="K25" s="2">
        <v>6417.4520230000007</v>
      </c>
      <c r="L25" s="2">
        <v>37228.437842999985</v>
      </c>
      <c r="M25" s="2">
        <v>269556.19099999999</v>
      </c>
      <c r="N25" s="2">
        <v>73466.808999999921</v>
      </c>
      <c r="O25" s="2">
        <v>343022.99999999994</v>
      </c>
      <c r="P25" s="2">
        <v>357176.99999999994</v>
      </c>
      <c r="Q25" s="88">
        <v>0.1723803735752685</v>
      </c>
      <c r="U25" s="103" t="s">
        <v>181</v>
      </c>
      <c r="V25" s="104">
        <v>159000</v>
      </c>
      <c r="W25" s="105">
        <v>150851</v>
      </c>
      <c r="Y25">
        <v>2000</v>
      </c>
      <c r="Z25" s="2">
        <v>10891</v>
      </c>
      <c r="AA25" s="2">
        <v>5728</v>
      </c>
      <c r="AB25" s="2">
        <v>16619</v>
      </c>
      <c r="AC25" s="2"/>
      <c r="AD25" s="2"/>
      <c r="AE25" s="2">
        <v>153094.67972324992</v>
      </c>
      <c r="AF25" s="2">
        <v>63628.331702989963</v>
      </c>
      <c r="AG25" s="2">
        <v>216723.01142623989</v>
      </c>
      <c r="AH25" s="2"/>
      <c r="AI25" s="2"/>
      <c r="AJ25" s="2">
        <v>32540.845176750008</v>
      </c>
      <c r="AK25" s="2">
        <v>8368.1433970100024</v>
      </c>
      <c r="AL25" s="2">
        <v>40908.988573760013</v>
      </c>
      <c r="AM25" s="2"/>
      <c r="AN25" s="2"/>
      <c r="AO25" s="2">
        <v>185635.52489999993</v>
      </c>
      <c r="AP25" s="2">
        <v>71996.475099999967</v>
      </c>
      <c r="AQ25" s="2">
        <v>257631.99999999988</v>
      </c>
      <c r="AR25" s="2">
        <v>274250.99999999988</v>
      </c>
      <c r="AS25" s="533">
        <v>0.15878846018258613</v>
      </c>
      <c r="AT25" s="533">
        <v>0.20455512807220871</v>
      </c>
      <c r="AU25">
        <v>18</v>
      </c>
    </row>
    <row r="26" spans="3:47" x14ac:dyDescent="0.5">
      <c r="C26">
        <v>2004</v>
      </c>
      <c r="D26" s="2">
        <v>16858.631955378602</v>
      </c>
      <c r="E26" s="2">
        <v>3289.117923060026</v>
      </c>
      <c r="F26" s="2">
        <v>20147.749878438626</v>
      </c>
      <c r="G26" s="16">
        <v>190193.77160749314</v>
      </c>
      <c r="H26" s="16">
        <v>60420.999999999993</v>
      </c>
      <c r="I26" s="2">
        <v>250614.77160749314</v>
      </c>
      <c r="J26" s="2">
        <v>28196</v>
      </c>
      <c r="K26" s="2">
        <v>9202</v>
      </c>
      <c r="L26" s="2">
        <v>37398</v>
      </c>
      <c r="M26" s="2">
        <v>218389.77160749314</v>
      </c>
      <c r="N26" s="2">
        <v>69623</v>
      </c>
      <c r="O26" s="2">
        <v>288012.77160749317</v>
      </c>
      <c r="P26" s="2">
        <v>308160.52148593182</v>
      </c>
      <c r="Q26" s="88">
        <v>0.24605593882025778</v>
      </c>
      <c r="U26" s="106" t="s">
        <v>246</v>
      </c>
      <c r="V26" s="101">
        <v>82400</v>
      </c>
      <c r="W26" s="102">
        <v>109279</v>
      </c>
      <c r="Y26">
        <v>2001</v>
      </c>
      <c r="Z26" s="2">
        <v>20773</v>
      </c>
      <c r="AA26" s="2">
        <v>7952</v>
      </c>
      <c r="AB26" s="2">
        <v>28725</v>
      </c>
      <c r="AC26" s="2"/>
      <c r="AD26" s="2"/>
      <c r="AE26" s="2">
        <v>377849.12863599992</v>
      </c>
      <c r="AF26" s="2">
        <v>137230.05416800003</v>
      </c>
      <c r="AG26" s="2">
        <v>515079.18280399998</v>
      </c>
      <c r="AH26" s="2"/>
      <c r="AI26" s="2"/>
      <c r="AJ26" s="2">
        <v>74378.931363999975</v>
      </c>
      <c r="AK26" s="2">
        <v>12046.885832000002</v>
      </c>
      <c r="AL26" s="2">
        <v>86425.817195999975</v>
      </c>
      <c r="AM26" s="2"/>
      <c r="AN26" s="2"/>
      <c r="AO26" s="2">
        <v>452228.05999999988</v>
      </c>
      <c r="AP26" s="2">
        <v>149276.94000000003</v>
      </c>
      <c r="AQ26" s="2">
        <v>601505</v>
      </c>
      <c r="AR26" s="2">
        <v>630230</v>
      </c>
      <c r="AS26" s="533">
        <v>0.14368262474293642</v>
      </c>
      <c r="AT26" s="533">
        <v>0.13938989786674028</v>
      </c>
      <c r="AU26">
        <v>4</v>
      </c>
    </row>
    <row r="27" spans="3:47" x14ac:dyDescent="0.5">
      <c r="C27">
        <v>2005</v>
      </c>
      <c r="D27" s="2">
        <v>9098.4289000000008</v>
      </c>
      <c r="E27" s="2">
        <v>2122.6634623699997</v>
      </c>
      <c r="F27" s="2">
        <v>11221.09236237</v>
      </c>
      <c r="G27" s="16">
        <v>192713.86579031701</v>
      </c>
      <c r="H27" s="16">
        <v>58917.40399999998</v>
      </c>
      <c r="I27" s="2">
        <v>251631.26979031699</v>
      </c>
      <c r="J27" s="2">
        <v>39348.409099999997</v>
      </c>
      <c r="K27" s="2">
        <v>9619.1680000000015</v>
      </c>
      <c r="L27" s="2">
        <v>48967.577099999995</v>
      </c>
      <c r="M27" s="2">
        <v>232062.274890317</v>
      </c>
      <c r="N27" s="2">
        <v>68536.571999999986</v>
      </c>
      <c r="O27" s="2">
        <v>300598.84689031699</v>
      </c>
      <c r="P27" s="2">
        <v>311819.93925268698</v>
      </c>
      <c r="Q27" s="88">
        <v>0.1964395334561081</v>
      </c>
      <c r="U27" s="97" t="s">
        <v>183</v>
      </c>
      <c r="V27" s="98">
        <v>31000</v>
      </c>
      <c r="W27" s="99">
        <v>47057</v>
      </c>
      <c r="Y27">
        <v>2002</v>
      </c>
      <c r="Z27" s="2">
        <v>15320</v>
      </c>
      <c r="AA27" s="2">
        <v>9671</v>
      </c>
      <c r="AB27" s="2">
        <v>24991</v>
      </c>
      <c r="AC27" s="2"/>
      <c r="AD27" s="2"/>
      <c r="AE27" s="2">
        <v>235847.83071099993</v>
      </c>
      <c r="AF27" s="2">
        <v>87275.896927000053</v>
      </c>
      <c r="AG27" s="2">
        <v>323123.72763799998</v>
      </c>
      <c r="AH27" s="2"/>
      <c r="AI27" s="2"/>
      <c r="AJ27" s="2">
        <v>97548.937288999994</v>
      </c>
      <c r="AK27" s="2">
        <v>32333.335072999998</v>
      </c>
      <c r="AL27" s="2">
        <v>129882.27236199999</v>
      </c>
      <c r="AM27" s="2"/>
      <c r="AN27" s="2"/>
      <c r="AO27" s="2">
        <v>333396.76799999992</v>
      </c>
      <c r="AP27" s="2">
        <v>119609.23200000005</v>
      </c>
      <c r="AQ27" s="2">
        <v>453006</v>
      </c>
      <c r="AR27" s="2">
        <v>477997</v>
      </c>
      <c r="AS27" s="533">
        <v>0.28671203551829333</v>
      </c>
      <c r="AT27" s="533">
        <v>0.24894340455395245</v>
      </c>
      <c r="AU27">
        <v>1</v>
      </c>
    </row>
    <row r="28" spans="3:47" x14ac:dyDescent="0.5">
      <c r="C28">
        <v>2006</v>
      </c>
      <c r="D28" s="2">
        <v>7701</v>
      </c>
      <c r="E28" s="2">
        <v>2181</v>
      </c>
      <c r="F28" s="2">
        <v>9882</v>
      </c>
      <c r="G28" s="16">
        <v>181433</v>
      </c>
      <c r="H28" s="16">
        <v>63735</v>
      </c>
      <c r="I28" s="2">
        <v>245168</v>
      </c>
      <c r="J28" s="2">
        <v>65662</v>
      </c>
      <c r="K28" s="2">
        <v>8466</v>
      </c>
      <c r="L28" s="2">
        <v>74128</v>
      </c>
      <c r="M28" s="2">
        <v>247095</v>
      </c>
      <c r="N28" s="2">
        <v>72201</v>
      </c>
      <c r="O28" s="2">
        <v>319296</v>
      </c>
      <c r="P28" s="2">
        <v>329178</v>
      </c>
      <c r="Q28" s="88">
        <v>0.11420785668033671</v>
      </c>
      <c r="U28" s="103" t="s">
        <v>181</v>
      </c>
      <c r="V28" s="101">
        <v>24500</v>
      </c>
      <c r="W28" s="102">
        <v>33716</v>
      </c>
      <c r="Y28">
        <v>2003</v>
      </c>
      <c r="Z28" s="2">
        <v>12353</v>
      </c>
      <c r="AA28" s="2">
        <v>1801</v>
      </c>
      <c r="AB28" s="2">
        <v>14154</v>
      </c>
      <c r="AC28" s="2"/>
      <c r="AD28" s="2"/>
      <c r="AE28" s="2">
        <v>238745.20518000002</v>
      </c>
      <c r="AF28" s="2">
        <v>67049.356976999916</v>
      </c>
      <c r="AG28" s="2">
        <v>305794.56215699995</v>
      </c>
      <c r="AH28" s="2"/>
      <c r="AI28" s="2"/>
      <c r="AJ28" s="2">
        <v>30810.985819999987</v>
      </c>
      <c r="AK28" s="2">
        <v>6417.4520230000007</v>
      </c>
      <c r="AL28" s="2">
        <v>37228.437842999985</v>
      </c>
      <c r="AM28" s="2"/>
      <c r="AN28" s="2"/>
      <c r="AO28" s="2">
        <v>269556.19099999999</v>
      </c>
      <c r="AP28" s="2">
        <v>73466.808999999921</v>
      </c>
      <c r="AQ28" s="2">
        <v>343022.99999999994</v>
      </c>
      <c r="AR28" s="2">
        <v>357176.99999999994</v>
      </c>
      <c r="AS28" s="533">
        <v>0.10853044210738053</v>
      </c>
      <c r="AT28" s="533">
        <v>0.1723803735752685</v>
      </c>
      <c r="AU28">
        <v>22</v>
      </c>
    </row>
    <row r="29" spans="3:47" x14ac:dyDescent="0.5">
      <c r="C29">
        <v>2007</v>
      </c>
      <c r="D29" s="2">
        <v>7748</v>
      </c>
      <c r="E29" s="2">
        <v>1727</v>
      </c>
      <c r="F29" s="2">
        <v>9475</v>
      </c>
      <c r="G29" s="16">
        <v>181580</v>
      </c>
      <c r="H29" s="16">
        <v>77268</v>
      </c>
      <c r="I29" s="2">
        <v>258848</v>
      </c>
      <c r="J29" s="2">
        <v>42058</v>
      </c>
      <c r="K29" s="2">
        <v>9015</v>
      </c>
      <c r="L29" s="2">
        <v>51073</v>
      </c>
      <c r="M29" s="2">
        <v>223638</v>
      </c>
      <c r="N29" s="2">
        <v>86283</v>
      </c>
      <c r="O29" s="2">
        <v>309921</v>
      </c>
      <c r="P29" s="2">
        <v>319396</v>
      </c>
      <c r="Q29" s="88">
        <v>0.17651205137744014</v>
      </c>
      <c r="U29" s="103" t="s">
        <v>246</v>
      </c>
      <c r="V29" s="104">
        <v>6500</v>
      </c>
      <c r="W29" s="105">
        <v>13341</v>
      </c>
      <c r="Y29">
        <v>2004</v>
      </c>
      <c r="Z29" s="2">
        <v>16858.631955378602</v>
      </c>
      <c r="AA29" s="2">
        <v>3289.117923060026</v>
      </c>
      <c r="AB29" s="2">
        <v>20147.749878438626</v>
      </c>
      <c r="AC29" s="2"/>
      <c r="AD29" s="2"/>
      <c r="AE29" s="2">
        <v>190193.77160749314</v>
      </c>
      <c r="AF29" s="2">
        <v>60420.999999999993</v>
      </c>
      <c r="AG29" s="2">
        <v>250614.77160749314</v>
      </c>
      <c r="AH29" s="2"/>
      <c r="AI29" s="2"/>
      <c r="AJ29" s="2">
        <v>28196</v>
      </c>
      <c r="AK29" s="2">
        <v>9202</v>
      </c>
      <c r="AL29" s="2">
        <v>37398</v>
      </c>
      <c r="AM29" s="2"/>
      <c r="AN29" s="2"/>
      <c r="AO29" s="2">
        <v>218389.77160749314</v>
      </c>
      <c r="AP29" s="2">
        <v>69623</v>
      </c>
      <c r="AQ29" s="2">
        <v>288012.77160749317</v>
      </c>
      <c r="AR29" s="2">
        <v>308160.52148593182</v>
      </c>
      <c r="AS29" s="533">
        <v>0.12984840842740955</v>
      </c>
      <c r="AT29" s="533">
        <v>0.24605593882025778</v>
      </c>
      <c r="AU29">
        <v>21</v>
      </c>
    </row>
    <row r="30" spans="3:47" x14ac:dyDescent="0.5">
      <c r="C30">
        <v>2008</v>
      </c>
      <c r="D30" s="2">
        <v>11343</v>
      </c>
      <c r="E30" s="2">
        <v>4489</v>
      </c>
      <c r="F30" s="2">
        <v>15832</v>
      </c>
      <c r="G30" s="16">
        <v>164174.90045047615</v>
      </c>
      <c r="H30" s="16">
        <v>81647.78535353535</v>
      </c>
      <c r="I30" s="2">
        <v>245822.6858040115</v>
      </c>
      <c r="J30" s="2">
        <v>74900.09954952386</v>
      </c>
      <c r="K30" s="2">
        <v>18529.214646464647</v>
      </c>
      <c r="L30" s="2">
        <v>93429.314195988511</v>
      </c>
      <c r="M30" s="2">
        <v>239075</v>
      </c>
      <c r="N30" s="2">
        <v>100177</v>
      </c>
      <c r="O30" s="2">
        <v>339252</v>
      </c>
      <c r="P30" s="2">
        <v>355084</v>
      </c>
      <c r="Q30" s="88">
        <v>0.19832335071619545</v>
      </c>
      <c r="U30" s="107" t="s">
        <v>561</v>
      </c>
      <c r="V30" s="98">
        <v>272400</v>
      </c>
      <c r="W30" s="99">
        <v>307187</v>
      </c>
      <c r="Y30">
        <v>2005</v>
      </c>
      <c r="Z30" s="2">
        <v>9098.4289000000008</v>
      </c>
      <c r="AA30" s="2">
        <v>2122.6634623699997</v>
      </c>
      <c r="AB30" s="2">
        <v>11221.09236237</v>
      </c>
      <c r="AC30" s="2"/>
      <c r="AD30" s="2"/>
      <c r="AE30" s="2">
        <v>192713.86579031701</v>
      </c>
      <c r="AF30" s="2">
        <v>58917.40399999998</v>
      </c>
      <c r="AG30" s="2">
        <v>251631.26979031699</v>
      </c>
      <c r="AH30" s="2"/>
      <c r="AI30" s="2"/>
      <c r="AJ30" s="2">
        <v>39348.409099999997</v>
      </c>
      <c r="AK30" s="2">
        <v>9619.1680000000015</v>
      </c>
      <c r="AL30" s="2">
        <v>48967.577099999995</v>
      </c>
      <c r="AM30" s="2"/>
      <c r="AN30" s="2"/>
      <c r="AO30" s="2">
        <v>232062.274890317</v>
      </c>
      <c r="AP30" s="2">
        <v>68536.571999999986</v>
      </c>
      <c r="AQ30" s="2">
        <v>300598.84689031699</v>
      </c>
      <c r="AR30" s="2">
        <v>311819.93925268698</v>
      </c>
      <c r="AS30" s="533">
        <v>0.16290008297293093</v>
      </c>
      <c r="AT30" s="533">
        <v>0.1964395334561081</v>
      </c>
      <c r="AU30">
        <v>12</v>
      </c>
    </row>
    <row r="31" spans="3:47" x14ac:dyDescent="0.5">
      <c r="C31">
        <v>2009</v>
      </c>
      <c r="D31" s="2">
        <v>10356.000000000002</v>
      </c>
      <c r="E31" s="2">
        <v>3528</v>
      </c>
      <c r="F31" s="2">
        <v>13884.000000000002</v>
      </c>
      <c r="G31" s="16">
        <v>389149.64262392122</v>
      </c>
      <c r="H31" s="16">
        <v>154045.02751939042</v>
      </c>
      <c r="I31" s="2">
        <v>543194.67014331161</v>
      </c>
      <c r="J31" s="2">
        <v>30813.357376078766</v>
      </c>
      <c r="K31" s="2">
        <v>13726.972480609544</v>
      </c>
      <c r="L31" s="2">
        <v>44540.32985668831</v>
      </c>
      <c r="M31" s="2">
        <v>419963</v>
      </c>
      <c r="N31" s="2">
        <v>167771.99999999997</v>
      </c>
      <c r="O31" s="2">
        <v>587734.99999999988</v>
      </c>
      <c r="P31" s="2">
        <v>601618.99999999988</v>
      </c>
      <c r="Q31" s="88">
        <v>0.30819198072347148</v>
      </c>
      <c r="U31" s="103" t="s">
        <v>181</v>
      </c>
      <c r="V31" s="101">
        <v>183500</v>
      </c>
      <c r="W31" s="102">
        <v>184566</v>
      </c>
      <c r="Y31">
        <v>2006</v>
      </c>
      <c r="Z31" s="2">
        <v>7701</v>
      </c>
      <c r="AA31" s="2">
        <v>2181</v>
      </c>
      <c r="AB31" s="2">
        <v>9882</v>
      </c>
      <c r="AC31" s="2"/>
      <c r="AD31" s="2"/>
      <c r="AE31" s="2">
        <v>181433</v>
      </c>
      <c r="AF31" s="2">
        <v>63735</v>
      </c>
      <c r="AG31" s="2">
        <v>245168</v>
      </c>
      <c r="AH31" s="2"/>
      <c r="AI31" s="2"/>
      <c r="AJ31" s="2">
        <v>65662</v>
      </c>
      <c r="AK31" s="2">
        <v>8466</v>
      </c>
      <c r="AL31" s="2">
        <v>74128</v>
      </c>
      <c r="AM31" s="2"/>
      <c r="AN31" s="2"/>
      <c r="AO31" s="2">
        <v>247095</v>
      </c>
      <c r="AP31" s="2">
        <v>72201</v>
      </c>
      <c r="AQ31" s="2">
        <v>319296</v>
      </c>
      <c r="AR31" s="2">
        <v>329178</v>
      </c>
      <c r="AS31" s="533">
        <v>0.2321607536580477</v>
      </c>
      <c r="AT31" s="533">
        <v>0.11420785668033671</v>
      </c>
      <c r="AU31">
        <v>8</v>
      </c>
    </row>
    <row r="32" spans="3:47" x14ac:dyDescent="0.5">
      <c r="C32">
        <v>2010</v>
      </c>
      <c r="D32" s="2">
        <v>18913</v>
      </c>
      <c r="E32" s="2">
        <v>10357</v>
      </c>
      <c r="F32" s="2">
        <v>29270</v>
      </c>
      <c r="G32" s="16">
        <v>183471</v>
      </c>
      <c r="H32" s="16">
        <v>120531</v>
      </c>
      <c r="I32" s="2">
        <v>304002</v>
      </c>
      <c r="J32" s="2">
        <v>54782</v>
      </c>
      <c r="K32" s="2">
        <v>22364</v>
      </c>
      <c r="L32" s="2">
        <v>77146</v>
      </c>
      <c r="M32" s="2">
        <v>238253</v>
      </c>
      <c r="N32" s="2">
        <v>142895</v>
      </c>
      <c r="O32" s="2">
        <v>381148</v>
      </c>
      <c r="P32" s="2">
        <v>410418</v>
      </c>
      <c r="Q32" s="88">
        <v>0.28989189329323622</v>
      </c>
      <c r="U32" s="103" t="s">
        <v>246</v>
      </c>
      <c r="V32" s="101">
        <v>88900</v>
      </c>
      <c r="W32" s="102">
        <v>122621</v>
      </c>
      <c r="Y32">
        <v>2007</v>
      </c>
      <c r="Z32" s="2">
        <v>7748</v>
      </c>
      <c r="AA32" s="2">
        <v>1727</v>
      </c>
      <c r="AB32" s="2">
        <v>9475</v>
      </c>
      <c r="AC32" s="2"/>
      <c r="AD32" s="2"/>
      <c r="AE32" s="2">
        <v>181580</v>
      </c>
      <c r="AF32" s="2">
        <v>77268</v>
      </c>
      <c r="AG32" s="2">
        <v>258848</v>
      </c>
      <c r="AH32" s="2"/>
      <c r="AI32" s="2"/>
      <c r="AJ32" s="2">
        <v>42058</v>
      </c>
      <c r="AK32" s="2">
        <v>9015</v>
      </c>
      <c r="AL32" s="2">
        <v>51073</v>
      </c>
      <c r="AM32" s="2"/>
      <c r="AN32" s="2"/>
      <c r="AO32" s="2">
        <v>223638</v>
      </c>
      <c r="AP32" s="2">
        <v>86283</v>
      </c>
      <c r="AQ32" s="2">
        <v>309921</v>
      </c>
      <c r="AR32" s="2">
        <v>319396</v>
      </c>
      <c r="AS32" s="533">
        <v>0.16479360869382842</v>
      </c>
      <c r="AT32" s="533">
        <v>0.17651205137744014</v>
      </c>
      <c r="AU32">
        <v>11</v>
      </c>
    </row>
    <row r="33" spans="3:49" x14ac:dyDescent="0.5">
      <c r="C33">
        <v>2011</v>
      </c>
      <c r="D33" s="2">
        <v>6935.5670103092789</v>
      </c>
      <c r="E33" s="2">
        <v>2814.432989690722</v>
      </c>
      <c r="F33" s="2">
        <v>9750</v>
      </c>
      <c r="G33" s="16">
        <v>216862.01283454278</v>
      </c>
      <c r="H33" s="16">
        <v>101262.53064774466</v>
      </c>
      <c r="I33" s="2">
        <v>318124.54348228744</v>
      </c>
      <c r="J33" s="2">
        <v>29225.110858827637</v>
      </c>
      <c r="K33" s="2">
        <v>7771.3456588849022</v>
      </c>
      <c r="L33" s="2">
        <v>36996.456517712541</v>
      </c>
      <c r="M33" s="2">
        <v>246087.12369337041</v>
      </c>
      <c r="N33" s="2">
        <v>109033.87630662957</v>
      </c>
      <c r="O33" s="2">
        <v>355121</v>
      </c>
      <c r="P33" s="2">
        <v>364871</v>
      </c>
      <c r="Q33" s="88">
        <v>0.21005648622495152</v>
      </c>
      <c r="U33" s="97" t="s">
        <v>562</v>
      </c>
      <c r="V33" s="98">
        <v>281000</v>
      </c>
      <c r="W33" s="99">
        <v>320713</v>
      </c>
      <c r="Y33">
        <v>2008</v>
      </c>
      <c r="Z33" s="2">
        <v>12067.032258064515</v>
      </c>
      <c r="AA33" s="2">
        <v>3764.9677419354839</v>
      </c>
      <c r="AB33" s="2">
        <v>15832</v>
      </c>
      <c r="AC33" s="2">
        <v>163032.98799823908</v>
      </c>
      <c r="AD33" s="2">
        <v>13162.999030998762</v>
      </c>
      <c r="AE33" s="2">
        <v>176195.98702923785</v>
      </c>
      <c r="AF33" s="2">
        <v>66911.569124164962</v>
      </c>
      <c r="AG33" s="2">
        <v>243107.55615340281</v>
      </c>
      <c r="AH33" s="2">
        <v>76041.606458148541</v>
      </c>
      <c r="AI33" s="2">
        <v>5381.9721464158683</v>
      </c>
      <c r="AJ33" s="2">
        <v>81423.578604564405</v>
      </c>
      <c r="AK33" s="2">
        <v>14720.865242032782</v>
      </c>
      <c r="AL33" s="2">
        <v>96144.443846597191</v>
      </c>
      <c r="AM33" s="2">
        <v>239074.59445638763</v>
      </c>
      <c r="AN33" s="2">
        <v>18544.971177414631</v>
      </c>
      <c r="AO33" s="2">
        <v>257619.56563380227</v>
      </c>
      <c r="AP33" s="2">
        <v>81632.434366197747</v>
      </c>
      <c r="AQ33" s="2">
        <v>339252</v>
      </c>
      <c r="AR33" s="2">
        <v>355084</v>
      </c>
      <c r="AS33" s="533">
        <v>0.28340125878873873</v>
      </c>
      <c r="AT33" s="533">
        <v>0.15311197041735025</v>
      </c>
      <c r="AU33">
        <v>3</v>
      </c>
      <c r="AV33" s="4">
        <v>7.4706576766782454E-2</v>
      </c>
      <c r="AW33" s="4">
        <v>6.6098447632147769E-2</v>
      </c>
    </row>
    <row r="34" spans="3:49" x14ac:dyDescent="0.5">
      <c r="C34">
        <v>2012</v>
      </c>
      <c r="D34" s="2">
        <v>7935.1034482758623</v>
      </c>
      <c r="E34" s="2">
        <v>3022.8965517241377</v>
      </c>
      <c r="F34" s="2">
        <v>10958</v>
      </c>
      <c r="G34" s="16">
        <v>136669.52709475759</v>
      </c>
      <c r="H34" s="16">
        <v>55464.280079943324</v>
      </c>
      <c r="I34" s="2">
        <v>192133.80717470092</v>
      </c>
      <c r="J34" s="2">
        <v>20910.109582458907</v>
      </c>
      <c r="K34" s="2">
        <v>6813.0832428401736</v>
      </c>
      <c r="L34" s="2">
        <v>27723.19282529908</v>
      </c>
      <c r="M34" s="2">
        <v>157579.63667721651</v>
      </c>
      <c r="N34" s="2">
        <v>62277.363322783494</v>
      </c>
      <c r="O34" s="2">
        <v>219857</v>
      </c>
      <c r="P34" s="2">
        <v>230815</v>
      </c>
      <c r="Q34" s="88">
        <v>0.24575391751497055</v>
      </c>
      <c r="U34" s="103" t="s">
        <v>181</v>
      </c>
      <c r="V34" s="101">
        <v>189800</v>
      </c>
      <c r="W34" s="102">
        <v>193309</v>
      </c>
      <c r="Y34">
        <v>2009</v>
      </c>
      <c r="Z34" s="2">
        <v>10842.620689655172</v>
      </c>
      <c r="AA34" s="2">
        <v>3041.3793103448274</v>
      </c>
      <c r="AB34" s="2">
        <v>13884</v>
      </c>
      <c r="AC34" s="2">
        <v>389713.27284916356</v>
      </c>
      <c r="AD34" s="2">
        <v>23728.01661264816</v>
      </c>
      <c r="AE34" s="2">
        <v>413441.28946181171</v>
      </c>
      <c r="AF34" s="2">
        <v>128895.69017451367</v>
      </c>
      <c r="AG34" s="2">
        <v>542336.97963632538</v>
      </c>
      <c r="AH34" s="2">
        <v>30249.91407323621</v>
      </c>
      <c r="AI34" s="2">
        <v>3011.9914442508257</v>
      </c>
      <c r="AJ34" s="2">
        <v>33261.905517487037</v>
      </c>
      <c r="AK34" s="2">
        <v>12136.114846187618</v>
      </c>
      <c r="AL34" s="2">
        <v>45398.020363674659</v>
      </c>
      <c r="AM34" s="2">
        <v>419963.18692239979</v>
      </c>
      <c r="AN34" s="2">
        <v>26740.008056898987</v>
      </c>
      <c r="AO34" s="2">
        <v>446703.19497929874</v>
      </c>
      <c r="AP34" s="2">
        <v>141031.80502070129</v>
      </c>
      <c r="AQ34" s="2">
        <v>587735</v>
      </c>
      <c r="AR34" s="2">
        <v>601619</v>
      </c>
      <c r="AS34" s="533">
        <v>7.7242329219247896E-2</v>
      </c>
      <c r="AT34" s="533">
        <v>0.26732696159364611</v>
      </c>
      <c r="AU34">
        <v>14</v>
      </c>
      <c r="AV34" s="4">
        <v>5.739150205228799E-2</v>
      </c>
      <c r="AW34" s="4">
        <v>9.0553785100114248E-2</v>
      </c>
    </row>
    <row r="35" spans="3:49" ht="13.2" thickBot="1" x14ac:dyDescent="0.55000000000000004">
      <c r="C35">
        <v>2013</v>
      </c>
      <c r="D35" s="150">
        <v>4077</v>
      </c>
      <c r="E35" s="150">
        <v>1661</v>
      </c>
      <c r="F35" s="150">
        <v>5738</v>
      </c>
      <c r="G35" s="150">
        <v>123578</v>
      </c>
      <c r="H35" s="150">
        <v>90497</v>
      </c>
      <c r="I35" s="150">
        <v>214075</v>
      </c>
      <c r="J35" s="150">
        <v>8604</v>
      </c>
      <c r="K35" s="150">
        <v>2907</v>
      </c>
      <c r="L35" s="150">
        <v>11511</v>
      </c>
      <c r="M35" s="150">
        <v>132182</v>
      </c>
      <c r="N35" s="150">
        <v>93404</v>
      </c>
      <c r="O35" s="150">
        <v>225586</v>
      </c>
      <c r="P35" s="150">
        <v>231324</v>
      </c>
      <c r="Q35" s="151">
        <v>0.25254104769351055</v>
      </c>
      <c r="R35" s="89"/>
      <c r="S35" s="89"/>
      <c r="U35" s="108" t="s">
        <v>246</v>
      </c>
      <c r="V35" s="109">
        <v>91200</v>
      </c>
      <c r="W35" s="110">
        <v>127404</v>
      </c>
      <c r="Y35">
        <v>2010</v>
      </c>
      <c r="Z35" s="2">
        <v>19258.673469387755</v>
      </c>
      <c r="AA35" s="2">
        <v>10010.326530612245</v>
      </c>
      <c r="AB35" s="2">
        <v>29269</v>
      </c>
      <c r="AC35" s="2">
        <v>178193.57424552366</v>
      </c>
      <c r="AD35" s="2">
        <v>14812.964607668842</v>
      </c>
      <c r="AE35" s="2">
        <v>193006.5388531925</v>
      </c>
      <c r="AF35" s="2">
        <v>105515.45417539659</v>
      </c>
      <c r="AG35" s="2">
        <v>298521.99302858906</v>
      </c>
      <c r="AH35" s="2">
        <v>60073.741064435373</v>
      </c>
      <c r="AI35" s="2">
        <v>2704.0333567198782</v>
      </c>
      <c r="AJ35" s="2">
        <v>62777.774421155249</v>
      </c>
      <c r="AK35" s="2">
        <v>19848.232550255678</v>
      </c>
      <c r="AL35" s="2">
        <v>82626.006971410927</v>
      </c>
      <c r="AM35" s="2">
        <v>238267.31530995903</v>
      </c>
      <c r="AN35" s="2">
        <v>17516.99796438872</v>
      </c>
      <c r="AO35" s="2">
        <v>255784.31327434775</v>
      </c>
      <c r="AP35" s="2">
        <v>125363.68672565227</v>
      </c>
      <c r="AQ35" s="2">
        <v>381148</v>
      </c>
      <c r="AR35" s="2">
        <v>410417</v>
      </c>
      <c r="AS35" s="533">
        <v>0.2167819507682342</v>
      </c>
      <c r="AT35" s="533">
        <v>0.24021773867304613</v>
      </c>
      <c r="AU35">
        <v>5</v>
      </c>
      <c r="AV35" s="4">
        <v>7.6748511712010442E-2</v>
      </c>
      <c r="AW35" s="4">
        <v>4.3073100020708223E-2</v>
      </c>
    </row>
    <row r="36" spans="3:49" x14ac:dyDescent="0.5">
      <c r="C36">
        <v>2014</v>
      </c>
      <c r="D36" s="150">
        <v>8743</v>
      </c>
      <c r="E36" s="150">
        <v>4783</v>
      </c>
      <c r="F36" s="150">
        <f>D36+E36</f>
        <v>13526</v>
      </c>
      <c r="G36" s="150">
        <v>150851</v>
      </c>
      <c r="H36" s="150">
        <v>109279</v>
      </c>
      <c r="I36" s="150">
        <f>G36+H36</f>
        <v>260130</v>
      </c>
      <c r="J36" s="150">
        <v>33716</v>
      </c>
      <c r="K36" s="150">
        <v>13341</v>
      </c>
      <c r="L36" s="150">
        <f>J36+K36</f>
        <v>47057</v>
      </c>
      <c r="M36" s="150">
        <f t="shared" ref="M36:N38" si="0">G36+J36</f>
        <v>184567</v>
      </c>
      <c r="N36" s="150">
        <f t="shared" si="0"/>
        <v>122620</v>
      </c>
      <c r="O36" s="150">
        <f>M36+N36</f>
        <v>307187</v>
      </c>
      <c r="P36" s="150">
        <f>F36+O36</f>
        <v>320713</v>
      </c>
      <c r="Q36" s="151">
        <f>K36/L36</f>
        <v>0.28350723590539134</v>
      </c>
      <c r="R36" s="89"/>
      <c r="S36" s="89"/>
      <c r="Y36">
        <v>2011</v>
      </c>
      <c r="Z36" s="2">
        <v>6838.5</v>
      </c>
      <c r="AA36" s="2">
        <v>2911.5</v>
      </c>
      <c r="AB36" s="2">
        <v>9750</v>
      </c>
      <c r="AC36" s="2">
        <v>206493.16185178325</v>
      </c>
      <c r="AD36" s="2">
        <v>23469.018395294279</v>
      </c>
      <c r="AE36" s="2">
        <v>229962.18024707754</v>
      </c>
      <c r="AF36" s="2">
        <v>93285.625742249598</v>
      </c>
      <c r="AG36" s="2">
        <v>323247.80598932714</v>
      </c>
      <c r="AH36" s="2">
        <v>24472.865518526112</v>
      </c>
      <c r="AI36" s="2">
        <v>3028.9833553555181</v>
      </c>
      <c r="AJ36" s="2">
        <v>27501.84887388163</v>
      </c>
      <c r="AK36" s="2">
        <v>4371.3451367912039</v>
      </c>
      <c r="AL36" s="2">
        <v>31873.194010672836</v>
      </c>
      <c r="AM36" s="2">
        <v>230966.02737030937</v>
      </c>
      <c r="AN36" s="2">
        <v>26498.001750649797</v>
      </c>
      <c r="AO36" s="2">
        <v>257464.02912095917</v>
      </c>
      <c r="AP36" s="2">
        <v>97656.970879040804</v>
      </c>
      <c r="AQ36" s="2">
        <v>355121</v>
      </c>
      <c r="AR36" s="2">
        <v>364871</v>
      </c>
      <c r="AS36" s="533">
        <v>8.975305321474325E-2</v>
      </c>
      <c r="AT36" s="533">
        <v>0.13714801018459102</v>
      </c>
      <c r="AU36">
        <v>25</v>
      </c>
      <c r="AV36" s="4">
        <v>0.10205599185952462</v>
      </c>
      <c r="AW36" s="4">
        <v>0.11013744454948732</v>
      </c>
    </row>
    <row r="37" spans="3:49" x14ac:dyDescent="0.5">
      <c r="C37" s="152">
        <v>2015</v>
      </c>
      <c r="D37" s="150">
        <v>4467</v>
      </c>
      <c r="E37" s="150">
        <v>3664</v>
      </c>
      <c r="F37" s="150">
        <f>D37+E37</f>
        <v>8131</v>
      </c>
      <c r="G37" s="150">
        <v>149486</v>
      </c>
      <c r="H37" s="150">
        <v>84896</v>
      </c>
      <c r="I37" s="150">
        <f>G37+H37</f>
        <v>234382</v>
      </c>
      <c r="J37" s="150">
        <v>13006</v>
      </c>
      <c r="K37" s="150">
        <v>5842</v>
      </c>
      <c r="L37" s="150">
        <f>J37+K37</f>
        <v>18848</v>
      </c>
      <c r="M37" s="150">
        <f t="shared" si="0"/>
        <v>162492</v>
      </c>
      <c r="N37" s="150">
        <f t="shared" si="0"/>
        <v>90738</v>
      </c>
      <c r="O37" s="150">
        <f>M37+N37</f>
        <v>253230</v>
      </c>
      <c r="P37" s="150">
        <f>F37+O37</f>
        <v>261361</v>
      </c>
      <c r="Q37" s="151">
        <f>K37/L37</f>
        <v>0.30995331069609505</v>
      </c>
      <c r="R37" s="89"/>
      <c r="S37" s="89"/>
      <c r="Y37">
        <v>2012</v>
      </c>
      <c r="Z37" s="2">
        <v>8226.5517241379312</v>
      </c>
      <c r="AA37" s="2">
        <v>2731.4482758620693</v>
      </c>
      <c r="AB37" s="2">
        <v>10958</v>
      </c>
      <c r="AC37" s="2">
        <v>120976.94409347356</v>
      </c>
      <c r="AD37" s="2">
        <v>14987.993073666745</v>
      </c>
      <c r="AE37" s="2">
        <v>135964.93716714031</v>
      </c>
      <c r="AF37" s="2">
        <v>55423.644517629873</v>
      </c>
      <c r="AG37" s="2">
        <v>191388.58168477018</v>
      </c>
      <c r="AH37" s="2">
        <v>18464.368348021573</v>
      </c>
      <c r="AI37" s="2">
        <v>4810.0959572131587</v>
      </c>
      <c r="AJ37" s="2">
        <v>23274.464305234731</v>
      </c>
      <c r="AK37" s="2">
        <v>5193.95400999511</v>
      </c>
      <c r="AL37" s="2">
        <v>28468.418315229843</v>
      </c>
      <c r="AM37" s="2">
        <v>139441.31244149513</v>
      </c>
      <c r="AN37" s="2">
        <v>19798.089030879903</v>
      </c>
      <c r="AO37" s="2">
        <v>159239.40147237503</v>
      </c>
      <c r="AP37" s="2">
        <v>60617.598527624985</v>
      </c>
      <c r="AQ37" s="2">
        <v>219857.00000000003</v>
      </c>
      <c r="AR37" s="2">
        <v>230815.00000000003</v>
      </c>
      <c r="AS37" s="533">
        <v>0.12948606737665774</v>
      </c>
      <c r="AT37" s="533">
        <v>0.18244617430032928</v>
      </c>
      <c r="AU37">
        <v>26</v>
      </c>
      <c r="AV37" s="4">
        <v>0.11023425146177325</v>
      </c>
      <c r="AW37" s="4">
        <v>0.20666838532267767</v>
      </c>
    </row>
    <row r="38" spans="3:49" x14ac:dyDescent="0.5">
      <c r="C38" s="152">
        <v>2016</v>
      </c>
      <c r="D38" s="150">
        <f>12238-E38</f>
        <v>7802</v>
      </c>
      <c r="E38" s="150">
        <v>4436</v>
      </c>
      <c r="F38" s="150">
        <f>D38+E38</f>
        <v>12238</v>
      </c>
      <c r="G38" s="150">
        <f>I38-H38</f>
        <v>99744</v>
      </c>
      <c r="H38" s="150">
        <v>29146</v>
      </c>
      <c r="I38" s="150">
        <v>128890</v>
      </c>
      <c r="J38" s="150">
        <f>L38-K38</f>
        <v>39447</v>
      </c>
      <c r="K38" s="150">
        <v>3469</v>
      </c>
      <c r="L38" s="150">
        <v>42916</v>
      </c>
      <c r="M38" s="150">
        <f t="shared" si="0"/>
        <v>139191</v>
      </c>
      <c r="N38" s="150">
        <f t="shared" si="0"/>
        <v>32615</v>
      </c>
      <c r="O38" s="150">
        <f>M38+N38</f>
        <v>171806</v>
      </c>
      <c r="P38" s="150">
        <f>F38+O38</f>
        <v>184044</v>
      </c>
      <c r="Q38" s="151">
        <f>K38/L38</f>
        <v>8.0832323608910434E-2</v>
      </c>
      <c r="R38" s="89"/>
      <c r="S38" s="89"/>
      <c r="Y38">
        <v>2013</v>
      </c>
      <c r="Z38" s="2">
        <v>4432.9285714285716</v>
      </c>
      <c r="AA38" s="2">
        <v>1305.0714285714284</v>
      </c>
      <c r="AB38" s="2">
        <v>5738</v>
      </c>
      <c r="AC38" s="2">
        <v>120697.12763716857</v>
      </c>
      <c r="AD38" s="2">
        <v>12668.013396419559</v>
      </c>
      <c r="AE38" s="2">
        <v>133365.14103358812</v>
      </c>
      <c r="AF38" s="2">
        <v>80613.013164453674</v>
      </c>
      <c r="AG38" s="2">
        <v>213978.1541980418</v>
      </c>
      <c r="AH38" s="2">
        <v>8347.9058846925218</v>
      </c>
      <c r="AI38" s="2">
        <v>1973.9777451345276</v>
      </c>
      <c r="AJ38" s="2">
        <v>10321.883629827049</v>
      </c>
      <c r="AK38" s="2">
        <v>1285.9621721311476</v>
      </c>
      <c r="AL38" s="2">
        <v>11607.845801958196</v>
      </c>
      <c r="AM38" s="2">
        <v>129045.03352186109</v>
      </c>
      <c r="AN38" s="2">
        <v>14641.991141554086</v>
      </c>
      <c r="AO38" s="2">
        <v>143687.02466341518</v>
      </c>
      <c r="AP38" s="2">
        <v>81898.975336584816</v>
      </c>
      <c r="AQ38" s="2">
        <v>225586</v>
      </c>
      <c r="AR38" s="2">
        <v>231324</v>
      </c>
      <c r="AS38" s="533">
        <v>5.1456410424220458E-2</v>
      </c>
      <c r="AT38" s="533">
        <v>0.11078387791076713</v>
      </c>
      <c r="AU38">
        <v>34</v>
      </c>
      <c r="AV38" s="4">
        <v>9.4987440482885321E-2</v>
      </c>
      <c r="AW38" s="4">
        <v>0.19124200736291416</v>
      </c>
    </row>
    <row r="39" spans="3:49" x14ac:dyDescent="0.5">
      <c r="Y39">
        <v>2014</v>
      </c>
      <c r="Z39" s="2">
        <v>9048.2340425531911</v>
      </c>
      <c r="AA39" s="2">
        <v>4476.7659574468089</v>
      </c>
      <c r="AB39" s="2">
        <v>13525</v>
      </c>
      <c r="AC39" s="2">
        <v>152504.70859989384</v>
      </c>
      <c r="AD39" s="2">
        <v>13725.973772939527</v>
      </c>
      <c r="AE39" s="2">
        <v>166230.68237283337</v>
      </c>
      <c r="AF39" s="2">
        <v>97225.176004705339</v>
      </c>
      <c r="AG39" s="2">
        <v>263455.85837753874</v>
      </c>
      <c r="AH39" s="2">
        <v>30827.016962970134</v>
      </c>
      <c r="AI39" s="2">
        <v>7495.0041242242569</v>
      </c>
      <c r="AJ39" s="2">
        <v>38322.021087194393</v>
      </c>
      <c r="AK39" s="2">
        <v>5409.1205352668421</v>
      </c>
      <c r="AL39" s="2">
        <v>43731.141622461233</v>
      </c>
      <c r="AM39" s="2">
        <v>183331.72556286398</v>
      </c>
      <c r="AN39" s="2">
        <v>21220.977897163786</v>
      </c>
      <c r="AO39" s="2">
        <v>204552.70346002775</v>
      </c>
      <c r="AP39" s="2">
        <v>102634.29653997219</v>
      </c>
      <c r="AQ39" s="2">
        <v>307187</v>
      </c>
      <c r="AR39" s="2">
        <v>320712</v>
      </c>
      <c r="AS39" s="533">
        <v>0.14236000098461599</v>
      </c>
      <c r="AT39" s="533">
        <v>0.12369035736511859</v>
      </c>
      <c r="AU39">
        <v>16</v>
      </c>
      <c r="AV39" s="4">
        <v>8.257184279707154E-2</v>
      </c>
      <c r="AW39" s="4">
        <v>0.1955795626533062</v>
      </c>
    </row>
    <row r="40" spans="3:49" x14ac:dyDescent="0.5">
      <c r="Y40">
        <v>2015</v>
      </c>
      <c r="Z40" s="2">
        <v>4800.090909090909</v>
      </c>
      <c r="AA40" s="2">
        <v>3330.909090909091</v>
      </c>
      <c r="AB40" s="2">
        <v>8131</v>
      </c>
      <c r="AC40" s="2">
        <v>152901.74236689188</v>
      </c>
      <c r="AD40" s="2">
        <v>7769.9869078936181</v>
      </c>
      <c r="AE40" s="2">
        <v>160671.7292747855</v>
      </c>
      <c r="AF40" s="2">
        <v>77387.876582980898</v>
      </c>
      <c r="AG40" s="2">
        <v>238059.60585776641</v>
      </c>
      <c r="AH40" s="2">
        <v>9590.0628679482488</v>
      </c>
      <c r="AI40" s="2">
        <v>2293.0150319296495</v>
      </c>
      <c r="AJ40" s="2">
        <v>11883.077899877899</v>
      </c>
      <c r="AK40" s="2">
        <v>3287.3162423557155</v>
      </c>
      <c r="AL40" s="2">
        <v>15170.394142233614</v>
      </c>
      <c r="AM40" s="2">
        <v>162491.80523484014</v>
      </c>
      <c r="AN40" s="2">
        <v>10063.001939823267</v>
      </c>
      <c r="AO40" s="2">
        <v>172554.80717466341</v>
      </c>
      <c r="AP40" s="2">
        <v>80675.19282533662</v>
      </c>
      <c r="AQ40" s="2">
        <v>253230.00000000003</v>
      </c>
      <c r="AR40" s="2">
        <v>261361.00000000003</v>
      </c>
      <c r="AS40" s="533">
        <v>5.9907570754782653E-2</v>
      </c>
      <c r="AT40" s="533">
        <v>0.21669286977877472</v>
      </c>
      <c r="AU40">
        <v>32</v>
      </c>
      <c r="AV40" s="4">
        <v>4.8359390559649475E-2</v>
      </c>
      <c r="AW40" s="4">
        <v>0.19296473954388624</v>
      </c>
    </row>
    <row r="41" spans="3:49" x14ac:dyDescent="0.5">
      <c r="C41" t="s">
        <v>554</v>
      </c>
      <c r="D41" s="2">
        <f>AVERAGE(D10:D29)</f>
        <v>11641.15304276893</v>
      </c>
      <c r="E41" s="2">
        <f t="shared" ref="E41:Q41" si="1">AVERAGE(E10:E29)</f>
        <v>2960.5890692715011</v>
      </c>
      <c r="F41" s="2">
        <f t="shared" si="1"/>
        <v>14601.742112040432</v>
      </c>
      <c r="G41" s="2">
        <f t="shared" si="1"/>
        <v>168151.29725083205</v>
      </c>
      <c r="H41" s="2">
        <f t="shared" si="1"/>
        <v>54646.07516838007</v>
      </c>
      <c r="I41" s="2">
        <f t="shared" si="1"/>
        <v>222797.3724192121</v>
      </c>
      <c r="J41" s="2">
        <f t="shared" si="1"/>
        <v>40652.789614558453</v>
      </c>
      <c r="K41" s="2">
        <f t="shared" si="1"/>
        <v>8983.3772143579154</v>
      </c>
      <c r="L41" s="2">
        <f t="shared" si="1"/>
        <v>49636.166828916357</v>
      </c>
      <c r="M41" s="2">
        <f t="shared" si="1"/>
        <v>208804.08686539051</v>
      </c>
      <c r="N41" s="2">
        <f t="shared" si="1"/>
        <v>63629.452382738004</v>
      </c>
      <c r="O41" s="2">
        <f t="shared" si="1"/>
        <v>272433.53924812854</v>
      </c>
      <c r="P41" s="2">
        <f t="shared" si="1"/>
        <v>287035.28136016894</v>
      </c>
      <c r="Q41" s="2">
        <f t="shared" si="1"/>
        <v>0.17605399893294182</v>
      </c>
      <c r="Y41">
        <v>2016</v>
      </c>
      <c r="Z41" s="2">
        <v>7801.76</v>
      </c>
      <c r="AA41" s="2">
        <v>4436</v>
      </c>
      <c r="AB41" s="2">
        <v>12237.76</v>
      </c>
      <c r="AC41" s="2">
        <v>92224.755369057224</v>
      </c>
      <c r="AD41" s="2">
        <v>7518.9800555157644</v>
      </c>
      <c r="AE41" s="2">
        <v>99743.735424572995</v>
      </c>
      <c r="AF41" s="2">
        <v>29145.839971236343</v>
      </c>
      <c r="AG41" s="2">
        <v>128889.57539580934</v>
      </c>
      <c r="AH41" s="2">
        <v>33839.306050200859</v>
      </c>
      <c r="AI41" s="2">
        <v>5608.0507204564674</v>
      </c>
      <c r="AJ41" s="2">
        <v>39447.356770657323</v>
      </c>
      <c r="AK41" s="2">
        <v>3469.0678335333514</v>
      </c>
      <c r="AL41" s="2">
        <v>42916.424604190674</v>
      </c>
      <c r="AM41" s="2">
        <v>126064.06141925808</v>
      </c>
      <c r="AN41" s="2">
        <v>13127.030775972231</v>
      </c>
      <c r="AO41" s="2">
        <v>139191.0921952303</v>
      </c>
      <c r="AP41" s="2">
        <v>32614.907804769693</v>
      </c>
      <c r="AQ41" s="2">
        <v>171806</v>
      </c>
      <c r="AR41" s="2">
        <v>184043.76</v>
      </c>
      <c r="AS41" s="533">
        <v>0.24979584301008506</v>
      </c>
      <c r="AT41" s="533">
        <v>8.0833104470557554E-2</v>
      </c>
      <c r="AU41">
        <v>17</v>
      </c>
      <c r="AV41" s="4">
        <v>7.5382980429900548E-2</v>
      </c>
      <c r="AW41" s="4">
        <v>0.14216543716885949</v>
      </c>
    </row>
    <row r="42" spans="3:49" x14ac:dyDescent="0.5">
      <c r="Y42">
        <v>2017</v>
      </c>
      <c r="Z42" s="2">
        <v>2255</v>
      </c>
      <c r="AA42" s="2">
        <v>1236</v>
      </c>
      <c r="AB42" s="2">
        <v>3491</v>
      </c>
      <c r="AC42" s="2">
        <v>75221.042818911694</v>
      </c>
      <c r="AD42" s="2">
        <v>3179.6868867082958</v>
      </c>
      <c r="AE42" s="2">
        <v>78400.72970561999</v>
      </c>
      <c r="AF42" s="2">
        <v>28316.620874219447</v>
      </c>
      <c r="AG42" s="2">
        <v>106717.35057983943</v>
      </c>
      <c r="AH42" s="2">
        <v>5487.9571810883144</v>
      </c>
      <c r="AI42" s="2">
        <v>769.31311329170387</v>
      </c>
      <c r="AJ42" s="2">
        <v>6257.2702943800177</v>
      </c>
      <c r="AK42" s="2">
        <v>375.37912578055318</v>
      </c>
      <c r="AL42" s="2">
        <v>6632.649420160571</v>
      </c>
      <c r="AM42" s="2">
        <v>80709.000000000015</v>
      </c>
      <c r="AN42" s="2">
        <v>3948.9999999999995</v>
      </c>
      <c r="AO42" s="2">
        <v>84658</v>
      </c>
      <c r="AP42" s="2">
        <v>28692</v>
      </c>
      <c r="AQ42" s="2">
        <v>113350</v>
      </c>
      <c r="AR42" s="2">
        <v>116841</v>
      </c>
      <c r="AS42" s="533">
        <v>5.8514772123163396E-2</v>
      </c>
      <c r="AT42" s="533">
        <v>5.6595653109533045E-2</v>
      </c>
      <c r="AU42">
        <v>35</v>
      </c>
      <c r="AV42" s="4">
        <v>4.0556853216129785E-2</v>
      </c>
      <c r="AW42" s="4">
        <v>0.12294708029197081</v>
      </c>
    </row>
    <row r="43" spans="3:49" x14ac:dyDescent="0.5">
      <c r="Y43">
        <v>2018</v>
      </c>
      <c r="Z43" s="2">
        <v>3888</v>
      </c>
      <c r="AA43" s="2">
        <v>2595</v>
      </c>
      <c r="AB43" s="2">
        <v>6483</v>
      </c>
      <c r="AC43" s="2">
        <v>45429.717396396707</v>
      </c>
      <c r="AD43" s="2">
        <v>2183.3371839172828</v>
      </c>
      <c r="AE43" s="2">
        <v>47613.05458031399</v>
      </c>
      <c r="AF43" s="2">
        <v>21725.050435953071</v>
      </c>
      <c r="AG43" s="2">
        <v>69338.105016267058</v>
      </c>
      <c r="AH43" s="2">
        <v>19056.2826036033</v>
      </c>
      <c r="AI43" s="2">
        <v>3223.5923202614385</v>
      </c>
      <c r="AJ43" s="2">
        <v>22279.874923864736</v>
      </c>
      <c r="AK43" s="2">
        <v>2382.0200598682095</v>
      </c>
      <c r="AL43" s="2">
        <v>24661.894983732946</v>
      </c>
      <c r="AM43" s="2">
        <v>64486.000000000007</v>
      </c>
      <c r="AN43" s="2">
        <v>5406.9295041787209</v>
      </c>
      <c r="AO43" s="2">
        <v>69892.929504178726</v>
      </c>
      <c r="AP43" s="2">
        <v>24107.070495821281</v>
      </c>
      <c r="AQ43" s="2">
        <v>94000</v>
      </c>
      <c r="AR43" s="2">
        <v>100483</v>
      </c>
      <c r="AS43" s="533">
        <v>0.2623605849333292</v>
      </c>
      <c r="AT43" s="533">
        <v>9.6587065245367254E-2</v>
      </c>
      <c r="AU43">
        <v>29</v>
      </c>
      <c r="AV43" s="4">
        <v>4.585585199610364E-2</v>
      </c>
      <c r="AW43" s="4">
        <v>0.14468628442830883</v>
      </c>
    </row>
    <row r="44" spans="3:49" x14ac:dyDescent="0.5"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533"/>
      <c r="AT44" s="533"/>
    </row>
    <row r="45" spans="3:49" x14ac:dyDescent="0.5"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533"/>
      <c r="AT45" s="533"/>
    </row>
    <row r="46" spans="3:49" ht="57.6" x14ac:dyDescent="0.55000000000000004">
      <c r="C46" s="360" t="s">
        <v>563</v>
      </c>
      <c r="D46" s="360" t="s">
        <v>564</v>
      </c>
      <c r="E46" s="361" t="s">
        <v>565</v>
      </c>
      <c r="F46" s="361" t="s">
        <v>566</v>
      </c>
      <c r="G46" s="361" t="s">
        <v>567</v>
      </c>
      <c r="H46" s="361" t="s">
        <v>568</v>
      </c>
      <c r="I46" s="361" t="s">
        <v>569</v>
      </c>
      <c r="J46" s="361" t="s">
        <v>570</v>
      </c>
      <c r="K46" s="361" t="s">
        <v>571</v>
      </c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</row>
    <row r="47" spans="3:49" ht="72" x14ac:dyDescent="0.55000000000000004">
      <c r="C47" s="362">
        <v>2008</v>
      </c>
      <c r="D47" s="362" t="s">
        <v>572</v>
      </c>
      <c r="E47" s="363">
        <v>2</v>
      </c>
      <c r="F47" s="363">
        <v>162829</v>
      </c>
      <c r="G47" s="363">
        <v>13177</v>
      </c>
      <c r="H47" s="363">
        <v>66912</v>
      </c>
      <c r="I47" s="363">
        <v>76246</v>
      </c>
      <c r="J47" s="363">
        <v>5360</v>
      </c>
      <c r="K47" s="363">
        <v>14728</v>
      </c>
      <c r="Y47" t="s">
        <v>607</v>
      </c>
      <c r="Z47" s="2">
        <v>4648.2533333333331</v>
      </c>
      <c r="AA47" s="2">
        <v>2755.6666666666665</v>
      </c>
      <c r="AB47" s="2">
        <v>7403.920000000001</v>
      </c>
      <c r="AC47" s="2">
        <v>70958.505194788537</v>
      </c>
      <c r="AD47" s="2">
        <v>4294.0013753804478</v>
      </c>
      <c r="AE47" s="2">
        <v>75252.506570168989</v>
      </c>
      <c r="AF47" s="2">
        <v>26395.837093802955</v>
      </c>
      <c r="AG47" s="2">
        <v>101648.34366397194</v>
      </c>
      <c r="AH47" s="2">
        <v>19461.181944964159</v>
      </c>
      <c r="AI47" s="2">
        <v>3200.3187180032037</v>
      </c>
      <c r="AJ47" s="2">
        <v>22661.500662967359</v>
      </c>
      <c r="AK47" s="2">
        <v>2075.4890063940379</v>
      </c>
      <c r="AL47" s="2">
        <v>24736.989669361395</v>
      </c>
      <c r="AM47" s="2">
        <v>90419.687139752714</v>
      </c>
      <c r="AN47" s="2">
        <v>7494.3200933836515</v>
      </c>
      <c r="AO47" s="2">
        <v>97914.007233136334</v>
      </c>
      <c r="AP47" s="2">
        <v>28471.326100196991</v>
      </c>
      <c r="AQ47" s="2">
        <v>126385.33333333333</v>
      </c>
      <c r="AR47" s="2">
        <v>133789.25333333333</v>
      </c>
      <c r="AS47" s="4">
        <v>0.19022373335552589</v>
      </c>
      <c r="AT47" s="4">
        <v>7.8005274275152622E-2</v>
      </c>
      <c r="AU47">
        <v>27</v>
      </c>
      <c r="AV47" s="4">
        <v>5.3931895214044658E-2</v>
      </c>
      <c r="AW47" s="4">
        <v>0.13659960062971305</v>
      </c>
    </row>
    <row r="48" spans="3:49" ht="72" x14ac:dyDescent="0.55000000000000004">
      <c r="C48" s="364">
        <v>2009</v>
      </c>
      <c r="D48" s="364" t="s">
        <v>572</v>
      </c>
      <c r="E48" s="365">
        <v>2</v>
      </c>
      <c r="F48" s="365">
        <v>391129</v>
      </c>
      <c r="G48" s="365">
        <v>23104</v>
      </c>
      <c r="H48" s="365">
        <v>129964</v>
      </c>
      <c r="I48" s="365">
        <v>28834</v>
      </c>
      <c r="J48" s="365">
        <v>3193</v>
      </c>
      <c r="K48" s="365">
        <v>11511</v>
      </c>
      <c r="Y48" t="s">
        <v>608</v>
      </c>
      <c r="Z48" s="2">
        <v>5558.6169903288201</v>
      </c>
      <c r="AA48" s="2">
        <v>3214.9350096711801</v>
      </c>
      <c r="AB48" s="2">
        <v>8773.5519999999997</v>
      </c>
      <c r="AC48" s="2">
        <v>103656.39331023027</v>
      </c>
      <c r="AD48" s="2">
        <v>6875.5929613948974</v>
      </c>
      <c r="AE48" s="2">
        <v>110531.98627162518</v>
      </c>
      <c r="AF48" s="2">
        <v>50760.112773819019</v>
      </c>
      <c r="AG48" s="2">
        <v>161292.09904544419</v>
      </c>
      <c r="AH48" s="2">
        <v>19760.125133162172</v>
      </c>
      <c r="AI48" s="2">
        <v>3877.7950620327038</v>
      </c>
      <c r="AJ48" s="2">
        <v>23637.920195194874</v>
      </c>
      <c r="AK48" s="2">
        <v>2984.5807593609343</v>
      </c>
      <c r="AL48" s="2">
        <v>26622.500954555806</v>
      </c>
      <c r="AM48" s="2">
        <v>123416.51844339244</v>
      </c>
      <c r="AN48" s="2">
        <v>10753.388023427602</v>
      </c>
      <c r="AO48" s="2">
        <v>134169.90646682004</v>
      </c>
      <c r="AP48" s="2">
        <v>53744.693533179954</v>
      </c>
      <c r="AQ48" s="2">
        <v>187914.6</v>
      </c>
      <c r="AR48" s="2">
        <v>196688.152</v>
      </c>
      <c r="AS48" s="4">
        <v>0.15458775436119526</v>
      </c>
      <c r="AT48" s="4">
        <v>0.11487980999387024</v>
      </c>
      <c r="AU48">
        <v>25.8</v>
      </c>
      <c r="AV48" s="4">
        <v>5.8545383799770999E-2</v>
      </c>
      <c r="AW48" s="4">
        <v>0.15966862081726632</v>
      </c>
    </row>
    <row r="49" spans="3:49" ht="72" x14ac:dyDescent="0.55000000000000004">
      <c r="C49" s="362">
        <v>2010</v>
      </c>
      <c r="D49" s="362" t="s">
        <v>572</v>
      </c>
      <c r="E49" s="363">
        <v>2</v>
      </c>
      <c r="F49" s="363">
        <v>178194</v>
      </c>
      <c r="G49" s="363">
        <v>14813</v>
      </c>
      <c r="H49" s="363">
        <v>105515</v>
      </c>
      <c r="I49" s="363">
        <v>60073</v>
      </c>
      <c r="J49" s="363">
        <v>2704</v>
      </c>
      <c r="K49" s="363">
        <v>19848</v>
      </c>
      <c r="Y49" t="s">
        <v>609</v>
      </c>
      <c r="Z49" s="2">
        <v>7739.2359406253527</v>
      </c>
      <c r="AA49" s="2">
        <v>3607.4400593746468</v>
      </c>
      <c r="AB49" s="2">
        <v>11346.675999999999</v>
      </c>
      <c r="AC49" s="2">
        <v>153435.60472282636</v>
      </c>
      <c r="AD49" s="2">
        <v>12404.397089267206</v>
      </c>
      <c r="AE49" s="2">
        <v>165840.0018120936</v>
      </c>
      <c r="AF49" s="2">
        <v>71753.399164333852</v>
      </c>
      <c r="AG49" s="2">
        <v>237593.40097642745</v>
      </c>
      <c r="AH49" s="2">
        <v>24040.942055472267</v>
      </c>
      <c r="AI49" s="2">
        <v>3491.8057168837418</v>
      </c>
      <c r="AJ49" s="2">
        <v>27532.747772356008</v>
      </c>
      <c r="AK49" s="2">
        <v>5775.8512512165426</v>
      </c>
      <c r="AL49" s="2">
        <v>33308.599023572555</v>
      </c>
      <c r="AM49" s="2">
        <v>177476.54677829865</v>
      </c>
      <c r="AN49" s="2">
        <v>15896.202806150948</v>
      </c>
      <c r="AO49" s="2">
        <v>193372.7495844496</v>
      </c>
      <c r="AP49" s="2">
        <v>77529.250415550399</v>
      </c>
      <c r="AQ49" s="2">
        <v>270902</v>
      </c>
      <c r="AR49" s="2">
        <v>282248.67599999998</v>
      </c>
      <c r="AS49" s="4">
        <v>0.13376585828090798</v>
      </c>
      <c r="AT49" s="4">
        <v>0.15123218126317309</v>
      </c>
      <c r="AU49">
        <v>23.3</v>
      </c>
      <c r="AV49" s="4">
        <v>7.3414461656733654E-2</v>
      </c>
      <c r="AW49" s="4">
        <v>0.14400178264422331</v>
      </c>
    </row>
    <row r="50" spans="3:49" ht="72" x14ac:dyDescent="0.55000000000000004">
      <c r="C50" s="364">
        <v>2011</v>
      </c>
      <c r="D50" s="364" t="s">
        <v>572</v>
      </c>
      <c r="E50" s="365">
        <v>2</v>
      </c>
      <c r="F50" s="365">
        <v>206493</v>
      </c>
      <c r="G50" s="365">
        <v>23469</v>
      </c>
      <c r="H50" s="365">
        <v>93286</v>
      </c>
      <c r="I50" s="365">
        <v>24473</v>
      </c>
      <c r="J50" s="365">
        <v>3029</v>
      </c>
      <c r="K50" s="365">
        <v>4371</v>
      </c>
    </row>
    <row r="51" spans="3:49" ht="72" x14ac:dyDescent="0.55000000000000004">
      <c r="C51" s="362">
        <v>2012</v>
      </c>
      <c r="D51" s="362" t="s">
        <v>572</v>
      </c>
      <c r="E51" s="363">
        <v>2</v>
      </c>
      <c r="F51" s="363">
        <v>120977</v>
      </c>
      <c r="G51" s="363">
        <v>14988</v>
      </c>
      <c r="H51" s="363">
        <v>55424</v>
      </c>
      <c r="I51" s="363">
        <v>18464</v>
      </c>
      <c r="J51" s="363">
        <v>4810</v>
      </c>
      <c r="K51" s="363">
        <v>5194</v>
      </c>
    </row>
    <row r="52" spans="3:49" ht="72" x14ac:dyDescent="0.55000000000000004">
      <c r="C52" s="364">
        <v>2013</v>
      </c>
      <c r="D52" s="364" t="s">
        <v>572</v>
      </c>
      <c r="E52" s="365">
        <v>2</v>
      </c>
      <c r="F52" s="365">
        <v>120697</v>
      </c>
      <c r="G52" s="365">
        <v>12668</v>
      </c>
      <c r="H52" s="365">
        <v>80613</v>
      </c>
      <c r="I52" s="365">
        <v>8348</v>
      </c>
      <c r="J52" s="365">
        <v>1974</v>
      </c>
      <c r="K52" s="365">
        <v>1286</v>
      </c>
    </row>
    <row r="53" spans="3:49" ht="72" x14ac:dyDescent="0.55000000000000004">
      <c r="C53" s="362">
        <v>2014</v>
      </c>
      <c r="D53" s="362" t="s">
        <v>572</v>
      </c>
      <c r="E53" s="363">
        <v>2</v>
      </c>
      <c r="F53" s="363">
        <v>152505</v>
      </c>
      <c r="G53" s="363">
        <v>13726</v>
      </c>
      <c r="H53" s="363">
        <v>97225</v>
      </c>
      <c r="I53" s="363">
        <v>30827</v>
      </c>
      <c r="J53" s="363">
        <v>7495</v>
      </c>
      <c r="K53" s="363">
        <v>5409</v>
      </c>
    </row>
    <row r="54" spans="3:49" ht="72" x14ac:dyDescent="0.55000000000000004">
      <c r="C54" s="364">
        <v>2015</v>
      </c>
      <c r="D54" s="364" t="s">
        <v>572</v>
      </c>
      <c r="E54" s="365">
        <v>2</v>
      </c>
      <c r="F54" s="365">
        <v>152902</v>
      </c>
      <c r="G54" s="365">
        <v>7770</v>
      </c>
      <c r="H54" s="365">
        <v>77388</v>
      </c>
      <c r="I54" s="365">
        <v>9590</v>
      </c>
      <c r="J54" s="365">
        <v>2293</v>
      </c>
      <c r="K54" s="365">
        <v>3287</v>
      </c>
    </row>
    <row r="55" spans="3:49" ht="72" x14ac:dyDescent="0.55000000000000004">
      <c r="C55" s="362">
        <v>2016</v>
      </c>
      <c r="D55" s="362" t="s">
        <v>572</v>
      </c>
      <c r="E55" s="363">
        <v>2</v>
      </c>
      <c r="F55" s="363">
        <v>92225</v>
      </c>
      <c r="G55" s="363">
        <v>7519</v>
      </c>
      <c r="H55" s="363">
        <v>29146</v>
      </c>
      <c r="I55" s="363">
        <v>33839</v>
      </c>
      <c r="J55" s="363">
        <v>5608</v>
      </c>
      <c r="K55" s="363">
        <v>3469</v>
      </c>
    </row>
  </sheetData>
  <sortState ref="C47:K64">
    <sortCondition ref="E47:E64"/>
  </sortState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</sheetPr>
  <dimension ref="A1:L3"/>
  <sheetViews>
    <sheetView workbookViewId="0">
      <selection activeCell="E31" sqref="E31"/>
    </sheetView>
  </sheetViews>
  <sheetFormatPr defaultColWidth="8.87890625" defaultRowHeight="12.9" x14ac:dyDescent="0.5"/>
  <cols>
    <col min="1" max="12" width="15.76171875" style="503" customWidth="1"/>
    <col min="13" max="16384" width="8.87890625" style="503"/>
  </cols>
  <sheetData>
    <row r="1" spans="1:12" x14ac:dyDescent="0.5">
      <c r="A1" s="490"/>
      <c r="B1" s="490" t="s">
        <v>715</v>
      </c>
      <c r="C1" s="490" t="s">
        <v>697</v>
      </c>
      <c r="D1" s="490" t="s">
        <v>698</v>
      </c>
      <c r="E1" s="490" t="s">
        <v>716</v>
      </c>
      <c r="F1" s="490" t="s">
        <v>717</v>
      </c>
      <c r="G1" s="490" t="s">
        <v>700</v>
      </c>
      <c r="H1" s="490" t="s">
        <v>718</v>
      </c>
      <c r="I1" s="490" t="s">
        <v>719</v>
      </c>
      <c r="J1" s="490" t="s">
        <v>720</v>
      </c>
      <c r="K1" s="490" t="s">
        <v>721</v>
      </c>
      <c r="L1" s="490" t="s">
        <v>704</v>
      </c>
    </row>
    <row r="2" spans="1:12" x14ac:dyDescent="0.5">
      <c r="A2" s="490" t="s">
        <v>94</v>
      </c>
      <c r="B2" s="489">
        <v>6</v>
      </c>
      <c r="C2" s="489">
        <v>105</v>
      </c>
      <c r="D2" s="489">
        <v>40</v>
      </c>
      <c r="E2" s="489">
        <v>1</v>
      </c>
      <c r="F2" s="489">
        <v>7684</v>
      </c>
      <c r="G2" s="489">
        <v>17343</v>
      </c>
      <c r="H2" s="489">
        <v>234</v>
      </c>
      <c r="I2" s="489">
        <v>11224</v>
      </c>
      <c r="J2" s="489">
        <f>B2+C2+E2+G2+H2+I2</f>
        <v>28913</v>
      </c>
      <c r="K2" s="489">
        <f>F2+D2</f>
        <v>7724</v>
      </c>
      <c r="L2" s="489">
        <f>J2+K2</f>
        <v>36637</v>
      </c>
    </row>
    <row r="3" spans="1:12" x14ac:dyDescent="0.5">
      <c r="A3" s="490" t="s">
        <v>96</v>
      </c>
      <c r="B3" s="489">
        <f>B2*T7Manip!$W$9</f>
        <v>3.013337091463493E-2</v>
      </c>
      <c r="C3" s="589">
        <v>0.1</v>
      </c>
      <c r="D3" s="589">
        <v>0.1</v>
      </c>
      <c r="E3" s="489">
        <f>E2*T7Manip!$W$9</f>
        <v>5.0222284857724883E-3</v>
      </c>
      <c r="F3" s="589">
        <v>10.8</v>
      </c>
      <c r="G3" s="489">
        <v>0</v>
      </c>
      <c r="H3" s="489">
        <v>0</v>
      </c>
      <c r="I3" s="489">
        <v>0</v>
      </c>
      <c r="J3" s="589">
        <f>C3+D3+E3</f>
        <v>0.20502222848577251</v>
      </c>
      <c r="K3" s="589">
        <v>10.8</v>
      </c>
      <c r="L3" s="589">
        <f>J3+K3</f>
        <v>11.005022228485773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>
    <tabColor rgb="FFFFFF00"/>
  </sheetPr>
  <dimension ref="A1:AO25"/>
  <sheetViews>
    <sheetView workbookViewId="0">
      <selection activeCell="I10" sqref="I10"/>
    </sheetView>
  </sheetViews>
  <sheetFormatPr defaultColWidth="8.87890625" defaultRowHeight="12.9" x14ac:dyDescent="0.5"/>
  <cols>
    <col min="1" max="1" width="8.87890625" style="539"/>
    <col min="2" max="2" width="9.52734375" style="539" customWidth="1"/>
    <col min="3" max="3" width="8.1171875" style="539" customWidth="1"/>
    <col min="4" max="4" width="7.3515625" style="539" customWidth="1"/>
    <col min="5" max="5" width="7.41015625" style="539" customWidth="1"/>
    <col min="6" max="6" width="7.3515625" style="539" customWidth="1"/>
    <col min="7" max="7" width="8.1171875" style="539" customWidth="1"/>
    <col min="8" max="8" width="8.41015625" style="539" customWidth="1"/>
    <col min="9" max="9" width="6.87890625" style="539" customWidth="1"/>
    <col min="10" max="10" width="7.87890625" style="539" customWidth="1"/>
    <col min="11" max="11" width="8.41015625" style="539" customWidth="1"/>
    <col min="12" max="12" width="7.41015625" style="539" customWidth="1"/>
    <col min="13" max="16384" width="8.87890625" style="539"/>
  </cols>
  <sheetData>
    <row r="1" spans="1:41" ht="13.2" thickTop="1" x14ac:dyDescent="0.5">
      <c r="A1" s="205"/>
      <c r="B1" s="693" t="s">
        <v>86</v>
      </c>
      <c r="C1" s="693"/>
      <c r="D1" s="693"/>
      <c r="E1" s="488"/>
      <c r="F1" s="488"/>
      <c r="G1" s="488"/>
      <c r="H1" s="488"/>
      <c r="I1" s="488"/>
      <c r="J1" s="488"/>
      <c r="K1" s="488"/>
      <c r="L1" s="206"/>
      <c r="O1" s="368" t="s">
        <v>87</v>
      </c>
      <c r="P1" s="369"/>
      <c r="Q1" s="369"/>
      <c r="R1" s="369"/>
      <c r="S1" s="369"/>
      <c r="T1" s="369"/>
      <c r="U1" s="369"/>
      <c r="V1" s="369"/>
      <c r="W1" s="369"/>
      <c r="X1" s="369"/>
      <c r="Y1" s="369"/>
      <c r="Z1" s="369"/>
      <c r="AA1" s="369"/>
      <c r="AB1" s="369"/>
      <c r="AC1" s="369"/>
      <c r="AD1" s="369"/>
      <c r="AE1" s="369"/>
      <c r="AF1" s="369"/>
      <c r="AG1" s="369"/>
      <c r="AH1" s="369"/>
      <c r="AI1" s="369"/>
      <c r="AJ1" s="369"/>
      <c r="AK1" s="369"/>
      <c r="AL1" s="369"/>
      <c r="AM1" s="369"/>
      <c r="AN1" s="369"/>
      <c r="AO1" s="369"/>
    </row>
    <row r="2" spans="1:41" ht="53.4" thickBot="1" x14ac:dyDescent="0.55000000000000004">
      <c r="A2" s="17"/>
      <c r="B2" s="18" t="s">
        <v>573</v>
      </c>
      <c r="C2" s="18" t="s">
        <v>66</v>
      </c>
      <c r="D2" s="18" t="s">
        <v>75</v>
      </c>
      <c r="E2" s="18" t="s">
        <v>88</v>
      </c>
      <c r="F2" s="18" t="s">
        <v>89</v>
      </c>
      <c r="G2" s="18" t="s">
        <v>574</v>
      </c>
      <c r="H2" s="18" t="s">
        <v>79</v>
      </c>
      <c r="I2" s="18" t="s">
        <v>90</v>
      </c>
      <c r="J2" s="18" t="s">
        <v>91</v>
      </c>
      <c r="K2" s="18" t="s">
        <v>92</v>
      </c>
      <c r="L2" s="19" t="s">
        <v>93</v>
      </c>
      <c r="O2" s="379"/>
      <c r="P2" s="382"/>
      <c r="Q2" s="382"/>
      <c r="R2" s="382"/>
      <c r="S2" s="382"/>
      <c r="T2" s="382"/>
      <c r="U2" s="382"/>
      <c r="V2" s="382"/>
      <c r="W2" s="382"/>
      <c r="X2" s="374"/>
      <c r="Y2" s="374"/>
      <c r="Z2" s="374"/>
      <c r="AA2" s="374"/>
      <c r="AB2" s="374"/>
      <c r="AC2" s="374"/>
      <c r="AD2" s="374"/>
      <c r="AE2" s="374"/>
      <c r="AF2" s="374"/>
      <c r="AG2" s="373"/>
      <c r="AH2" s="373"/>
      <c r="AI2" s="373"/>
      <c r="AJ2" s="373"/>
      <c r="AK2" s="373"/>
      <c r="AL2" s="373"/>
      <c r="AM2" s="373"/>
      <c r="AN2" s="373"/>
      <c r="AO2" s="373"/>
    </row>
    <row r="3" spans="1:41" ht="32.4" thickTop="1" x14ac:dyDescent="0.5">
      <c r="A3" s="421" t="s">
        <v>94</v>
      </c>
      <c r="B3" s="422">
        <v>6</v>
      </c>
      <c r="C3" s="422">
        <v>105</v>
      </c>
      <c r="D3" s="422">
        <v>40</v>
      </c>
      <c r="E3" s="422">
        <v>1</v>
      </c>
      <c r="F3" s="422">
        <v>7684</v>
      </c>
      <c r="G3" s="422">
        <v>17343</v>
      </c>
      <c r="H3" s="422">
        <v>234</v>
      </c>
      <c r="I3" s="422">
        <v>11224</v>
      </c>
      <c r="J3" s="422">
        <f>B3+C3+E3+G3+H3+I3</f>
        <v>28913</v>
      </c>
      <c r="K3" s="422">
        <f>F3+D3</f>
        <v>7724</v>
      </c>
      <c r="L3" s="423">
        <f>J3+K3</f>
        <v>36637</v>
      </c>
      <c r="O3" s="410"/>
      <c r="P3" s="411"/>
      <c r="Q3" s="411"/>
      <c r="R3" s="411"/>
      <c r="S3" s="411"/>
      <c r="T3" s="411"/>
      <c r="U3" s="411"/>
      <c r="V3" s="411"/>
      <c r="W3" s="411"/>
      <c r="X3" s="694" t="s">
        <v>95</v>
      </c>
      <c r="Y3" s="694"/>
      <c r="Z3" s="694"/>
      <c r="AA3" s="694"/>
      <c r="AB3" s="694"/>
      <c r="AC3" s="694"/>
      <c r="AD3" s="694"/>
      <c r="AE3" s="694"/>
      <c r="AF3" s="694"/>
      <c r="AG3" s="382"/>
      <c r="AH3" s="382"/>
      <c r="AI3" s="382"/>
      <c r="AJ3" s="382"/>
      <c r="AK3" s="382"/>
      <c r="AL3" s="382"/>
      <c r="AM3" s="382"/>
      <c r="AN3" s="382"/>
      <c r="AO3" s="382"/>
    </row>
    <row r="4" spans="1:41" ht="21.6" x14ac:dyDescent="0.5">
      <c r="A4" s="207" t="s">
        <v>96</v>
      </c>
      <c r="B4" s="491">
        <f>B3*$W$9</f>
        <v>3.013337091463493E-2</v>
      </c>
      <c r="C4" s="548">
        <v>0.1</v>
      </c>
      <c r="D4" s="548">
        <v>0.1</v>
      </c>
      <c r="E4" s="491">
        <f>E3*$W$9</f>
        <v>5.0222284857724883E-3</v>
      </c>
      <c r="F4" s="548">
        <v>10.8</v>
      </c>
      <c r="G4" s="491">
        <v>0</v>
      </c>
      <c r="H4" s="491">
        <v>0</v>
      </c>
      <c r="I4" s="491">
        <v>0</v>
      </c>
      <c r="J4" s="548">
        <f>C4+D4+E4</f>
        <v>0.20502222848577251</v>
      </c>
      <c r="K4" s="548">
        <v>10.8</v>
      </c>
      <c r="L4" s="549">
        <f>J4+K4</f>
        <v>11.005022228485773</v>
      </c>
      <c r="O4" s="383"/>
      <c r="P4" s="382"/>
      <c r="Q4" s="382"/>
      <c r="R4" s="389" t="s">
        <v>74</v>
      </c>
      <c r="S4" s="389" t="s">
        <v>75</v>
      </c>
      <c r="T4" s="384"/>
      <c r="U4" s="384"/>
      <c r="V4" s="382"/>
      <c r="W4" s="384" t="s">
        <v>97</v>
      </c>
      <c r="X4" s="412"/>
      <c r="Y4" s="412"/>
      <c r="Z4" s="502"/>
      <c r="AA4" s="502"/>
      <c r="AB4" s="502"/>
      <c r="AC4" s="502"/>
      <c r="AD4" s="502"/>
      <c r="AE4" s="389" t="s">
        <v>75</v>
      </c>
      <c r="AF4" s="502" t="s">
        <v>74</v>
      </c>
      <c r="AG4" s="502"/>
      <c r="AH4" s="502"/>
      <c r="AI4" s="384"/>
      <c r="AJ4" s="384"/>
      <c r="AK4" s="384"/>
      <c r="AL4" s="384"/>
      <c r="AM4" s="384"/>
      <c r="AN4" s="384"/>
      <c r="AO4" s="384"/>
    </row>
    <row r="5" spans="1:41" x14ac:dyDescent="0.5">
      <c r="O5" s="383"/>
      <c r="P5" s="384" t="s">
        <v>70</v>
      </c>
      <c r="Q5" s="384"/>
      <c r="R5" s="389" t="s">
        <v>98</v>
      </c>
      <c r="S5" s="389" t="s">
        <v>99</v>
      </c>
      <c r="T5" s="384"/>
      <c r="U5" s="382"/>
      <c r="V5" s="384" t="s">
        <v>65</v>
      </c>
      <c r="W5" s="384" t="s">
        <v>65</v>
      </c>
      <c r="X5" s="190" t="s">
        <v>100</v>
      </c>
      <c r="Y5" s="190"/>
      <c r="Z5" s="389"/>
      <c r="AA5" s="389"/>
      <c r="AB5" s="389"/>
      <c r="AC5" s="389"/>
      <c r="AD5" s="389"/>
      <c r="AE5" s="389" t="s">
        <v>99</v>
      </c>
      <c r="AF5" s="389" t="s">
        <v>98</v>
      </c>
      <c r="AG5" s="389"/>
      <c r="AH5" s="389"/>
      <c r="AI5" s="382"/>
      <c r="AJ5" s="382"/>
      <c r="AK5" s="686"/>
      <c r="AL5" s="686"/>
      <c r="AM5" s="573"/>
      <c r="AN5" s="1" t="s">
        <v>101</v>
      </c>
      <c r="AO5" s="382" t="s">
        <v>102</v>
      </c>
    </row>
    <row r="6" spans="1:41" x14ac:dyDescent="0.5">
      <c r="O6" s="383"/>
      <c r="P6" s="384" t="s">
        <v>72</v>
      </c>
      <c r="Q6" s="384"/>
      <c r="R6" s="389" t="s">
        <v>103</v>
      </c>
      <c r="S6" s="384" t="s">
        <v>98</v>
      </c>
      <c r="T6" s="384" t="s">
        <v>104</v>
      </c>
      <c r="U6" s="384"/>
      <c r="V6" s="384" t="s">
        <v>72</v>
      </c>
      <c r="W6" s="384" t="s">
        <v>72</v>
      </c>
      <c r="X6" s="389" t="s">
        <v>105</v>
      </c>
      <c r="Y6" s="389"/>
      <c r="Z6" s="389"/>
      <c r="AA6" s="389"/>
      <c r="AB6" s="389"/>
      <c r="AC6" s="389"/>
      <c r="AD6" s="389"/>
      <c r="AE6" s="384" t="s">
        <v>98</v>
      </c>
      <c r="AF6" s="389" t="s">
        <v>103</v>
      </c>
      <c r="AG6" s="389"/>
      <c r="AH6" s="389"/>
      <c r="AI6" s="384" t="s">
        <v>106</v>
      </c>
      <c r="AJ6" s="384"/>
      <c r="AK6" s="687" t="s">
        <v>107</v>
      </c>
      <c r="AL6" s="687"/>
      <c r="AM6" s="569"/>
      <c r="AN6" s="1" t="s">
        <v>108</v>
      </c>
      <c r="AO6" s="384" t="s">
        <v>109</v>
      </c>
    </row>
    <row r="7" spans="1:41" ht="62.1" x14ac:dyDescent="0.5">
      <c r="O7" s="383" t="s">
        <v>55</v>
      </c>
      <c r="P7" s="384" t="s">
        <v>110</v>
      </c>
      <c r="Q7" s="399" t="s">
        <v>111</v>
      </c>
      <c r="R7" s="418" t="s">
        <v>112</v>
      </c>
      <c r="S7" s="389" t="s">
        <v>112</v>
      </c>
      <c r="T7" s="384" t="s">
        <v>113</v>
      </c>
      <c r="U7" s="385" t="s">
        <v>114</v>
      </c>
      <c r="V7" s="385" t="s">
        <v>115</v>
      </c>
      <c r="W7" s="384" t="s">
        <v>116</v>
      </c>
      <c r="X7" s="384" t="s">
        <v>76</v>
      </c>
      <c r="Y7" s="399" t="s">
        <v>117</v>
      </c>
      <c r="Z7" s="419" t="s">
        <v>118</v>
      </c>
      <c r="AA7" s="419" t="s">
        <v>119</v>
      </c>
      <c r="AB7" s="419" t="s">
        <v>120</v>
      </c>
      <c r="AC7" s="419" t="s">
        <v>121</v>
      </c>
      <c r="AD7" s="419" t="s">
        <v>122</v>
      </c>
      <c r="AE7" s="385" t="s">
        <v>123</v>
      </c>
      <c r="AF7" s="385" t="s">
        <v>124</v>
      </c>
      <c r="AG7" s="385" t="s">
        <v>125</v>
      </c>
      <c r="AH7" s="385" t="s">
        <v>126</v>
      </c>
      <c r="AI7" s="384" t="s">
        <v>127</v>
      </c>
      <c r="AJ7" s="420" t="s">
        <v>128</v>
      </c>
      <c r="AK7" s="384" t="s">
        <v>129</v>
      </c>
      <c r="AL7" s="384" t="s">
        <v>75</v>
      </c>
      <c r="AM7" s="420" t="s">
        <v>130</v>
      </c>
      <c r="AN7" s="384" t="s">
        <v>131</v>
      </c>
      <c r="AO7" s="384" t="s">
        <v>132</v>
      </c>
    </row>
    <row r="8" spans="1:41" x14ac:dyDescent="0.5">
      <c r="O8" s="400">
        <v>2016</v>
      </c>
      <c r="P8" s="403">
        <v>356887.8</v>
      </c>
      <c r="Q8" s="403">
        <v>0</v>
      </c>
      <c r="R8" s="403">
        <v>1326.8</v>
      </c>
      <c r="S8" s="403">
        <v>16683</v>
      </c>
      <c r="T8" s="403">
        <v>342497</v>
      </c>
      <c r="U8" s="403">
        <v>337980</v>
      </c>
      <c r="V8" s="403">
        <v>898</v>
      </c>
      <c r="W8" s="413">
        <f>V8/(V8+U8)</f>
        <v>2.6499212105831598E-3</v>
      </c>
      <c r="X8" s="403">
        <v>945.72455101836056</v>
      </c>
      <c r="Y8" s="403">
        <v>0</v>
      </c>
      <c r="Z8" s="414">
        <v>0.96192139944168698</v>
      </c>
      <c r="AA8" s="414">
        <v>2.0240098206434172</v>
      </c>
      <c r="AB8" s="414">
        <v>1.8019464231965487</v>
      </c>
      <c r="AC8" s="414">
        <v>940.93667337507884</v>
      </c>
      <c r="AD8" s="414">
        <v>0.52998424211663198</v>
      </c>
      <c r="AE8" s="414">
        <v>42.406689132962306</v>
      </c>
      <c r="AF8" s="414">
        <v>2.6499212105831598E-2</v>
      </c>
      <c r="AG8" s="414">
        <v>897.97350078789407</v>
      </c>
      <c r="AH8" s="403">
        <v>898</v>
      </c>
      <c r="AI8" s="403">
        <v>815</v>
      </c>
      <c r="AJ8" s="415">
        <v>0</v>
      </c>
      <c r="AK8" s="416">
        <v>3.7457150398528612E-3</v>
      </c>
      <c r="AL8" s="416">
        <v>4.6745783969079358E-2</v>
      </c>
      <c r="AM8" s="416">
        <v>5.0491499008932218E-2</v>
      </c>
      <c r="AN8" s="404">
        <v>574</v>
      </c>
      <c r="AO8" s="417">
        <v>0.7042944785276074</v>
      </c>
    </row>
    <row r="9" spans="1:41" x14ac:dyDescent="0.5">
      <c r="O9" s="400">
        <v>2017</v>
      </c>
      <c r="P9" s="403">
        <v>88263</v>
      </c>
      <c r="Q9" s="403">
        <v>0</v>
      </c>
      <c r="R9" s="403">
        <v>296</v>
      </c>
      <c r="S9" s="403">
        <v>4480</v>
      </c>
      <c r="T9" s="403">
        <v>87693</v>
      </c>
      <c r="U9" s="403">
        <v>77661</v>
      </c>
      <c r="V9" s="403">
        <v>392</v>
      </c>
      <c r="W9" s="413">
        <f>V9/(V9+U9)</f>
        <v>5.0222284857724883E-3</v>
      </c>
      <c r="X9" s="403">
        <v>443.27695283973713</v>
      </c>
      <c r="Y9" s="403">
        <v>0</v>
      </c>
      <c r="Z9" s="414">
        <v>7.5333427286587318E-2</v>
      </c>
      <c r="AA9" s="414">
        <v>1.3811128335874343</v>
      </c>
      <c r="AB9" s="414">
        <v>1.4062239760162967</v>
      </c>
      <c r="AC9" s="414">
        <v>440.41428260284681</v>
      </c>
      <c r="AD9" s="414">
        <v>3.013337091463493E-2</v>
      </c>
      <c r="AE9" s="414">
        <v>21.093359640244451</v>
      </c>
      <c r="AF9" s="414">
        <v>0</v>
      </c>
      <c r="AG9" s="414">
        <v>419.29078959168771</v>
      </c>
      <c r="AH9" s="403">
        <v>392</v>
      </c>
      <c r="AI9" s="403">
        <v>228</v>
      </c>
      <c r="AJ9" s="415">
        <v>0</v>
      </c>
      <c r="AK9" s="416">
        <v>3.353613631986223E-3</v>
      </c>
      <c r="AL9" s="416">
        <v>5.0757395511142833E-2</v>
      </c>
      <c r="AM9" s="416">
        <v>5.4111009143129059E-2</v>
      </c>
      <c r="AN9" s="404">
        <v>162</v>
      </c>
      <c r="AO9" s="417">
        <v>0.71052631578947367</v>
      </c>
    </row>
    <row r="15" spans="1:41" ht="13.2" thickBot="1" x14ac:dyDescent="0.55000000000000004"/>
    <row r="16" spans="1:41" ht="13.2" thickTop="1" x14ac:dyDescent="0.5">
      <c r="A16" s="368" t="s">
        <v>133</v>
      </c>
      <c r="B16" s="369"/>
      <c r="C16" s="369"/>
      <c r="D16" s="369"/>
      <c r="E16" s="369"/>
      <c r="F16" s="369"/>
      <c r="G16" s="369"/>
      <c r="H16" s="369"/>
      <c r="I16" s="369"/>
      <c r="J16" s="369"/>
      <c r="K16" s="369"/>
      <c r="L16" s="369"/>
      <c r="M16" s="369"/>
      <c r="N16" s="369"/>
      <c r="O16" s="369"/>
      <c r="P16" s="369"/>
      <c r="Q16" s="369"/>
      <c r="R16" s="370"/>
      <c r="S16" s="370"/>
      <c r="T16" s="370"/>
      <c r="U16" s="370"/>
      <c r="V16" s="370"/>
      <c r="W16" s="370"/>
      <c r="X16" s="370"/>
      <c r="Y16" s="370"/>
      <c r="Z16" s="370"/>
      <c r="AA16" s="370"/>
      <c r="AB16" s="370"/>
      <c r="AC16" s="370"/>
      <c r="AD16" s="370"/>
      <c r="AE16" s="370"/>
      <c r="AF16" s="371"/>
    </row>
    <row r="17" spans="1:32" ht="13.2" thickBot="1" x14ac:dyDescent="0.55000000000000004">
      <c r="A17" s="372"/>
      <c r="B17" s="373"/>
      <c r="C17" s="373"/>
      <c r="D17" s="373"/>
      <c r="E17" s="373"/>
      <c r="F17" s="373"/>
      <c r="G17" s="373"/>
      <c r="H17" s="373"/>
      <c r="I17" s="373"/>
      <c r="J17" s="373"/>
      <c r="K17" s="373"/>
      <c r="L17" s="373"/>
      <c r="M17" s="373"/>
      <c r="N17" s="373"/>
      <c r="O17" s="373"/>
      <c r="P17" s="373"/>
      <c r="Q17" s="373"/>
      <c r="R17" s="374"/>
      <c r="S17" s="374"/>
      <c r="T17" s="374"/>
      <c r="U17" s="374"/>
      <c r="V17" s="374"/>
      <c r="W17" s="374"/>
      <c r="X17" s="374"/>
      <c r="Y17" s="374"/>
      <c r="Z17" s="374"/>
      <c r="AA17" s="374"/>
      <c r="AB17" s="374"/>
      <c r="AC17" s="374"/>
      <c r="AD17" s="374"/>
      <c r="AE17" s="374"/>
      <c r="AF17" s="375"/>
    </row>
    <row r="18" spans="1:32" ht="13.2" thickTop="1" x14ac:dyDescent="0.5">
      <c r="A18" s="376"/>
      <c r="B18" s="369"/>
      <c r="C18" s="369"/>
      <c r="D18" s="369"/>
      <c r="E18" s="369"/>
      <c r="F18" s="369"/>
      <c r="G18" s="377"/>
      <c r="H18" s="377"/>
      <c r="I18" s="377"/>
      <c r="J18" s="377"/>
      <c r="K18" s="369"/>
      <c r="L18" s="369"/>
      <c r="M18" s="369"/>
      <c r="N18" s="369"/>
      <c r="O18" s="377"/>
      <c r="P18" s="377"/>
      <c r="Q18" s="377"/>
      <c r="R18" s="236"/>
      <c r="S18" s="236"/>
      <c r="T18" s="236"/>
      <c r="U18" s="236"/>
      <c r="V18" s="236"/>
      <c r="W18" s="236"/>
      <c r="X18" s="236"/>
      <c r="Y18" s="236"/>
      <c r="Z18" s="236"/>
      <c r="AA18" s="236"/>
      <c r="AB18" s="236"/>
      <c r="AC18" s="236"/>
      <c r="AD18" s="236"/>
      <c r="AE18" s="236"/>
      <c r="AF18" s="378"/>
    </row>
    <row r="19" spans="1:32" x14ac:dyDescent="0.5">
      <c r="A19" s="379"/>
      <c r="B19" s="380" t="s">
        <v>134</v>
      </c>
      <c r="C19" s="380"/>
      <c r="D19" s="380"/>
      <c r="E19" s="380"/>
      <c r="F19" s="380"/>
      <c r="G19" s="380"/>
      <c r="H19" s="380"/>
      <c r="I19" s="380"/>
      <c r="J19" s="381"/>
      <c r="K19" s="382"/>
      <c r="L19" s="382"/>
      <c r="M19" s="380" t="s">
        <v>135</v>
      </c>
      <c r="N19" s="380"/>
      <c r="O19" s="380"/>
      <c r="P19" s="380"/>
      <c r="Q19" s="380"/>
      <c r="R19" s="236"/>
      <c r="S19" s="236"/>
      <c r="T19" s="236"/>
      <c r="U19" s="687" t="s">
        <v>136</v>
      </c>
      <c r="V19" s="687"/>
      <c r="W19" s="687"/>
      <c r="X19" s="687"/>
      <c r="Y19" s="687"/>
      <c r="Z19" s="687"/>
      <c r="AA19" s="687"/>
      <c r="AB19" s="687"/>
      <c r="AC19" s="687"/>
      <c r="AD19" s="687"/>
      <c r="AE19" s="687"/>
      <c r="AF19" s="688"/>
    </row>
    <row r="20" spans="1:32" x14ac:dyDescent="0.5">
      <c r="A20" s="383"/>
      <c r="B20" s="384"/>
      <c r="C20" s="384"/>
      <c r="D20" s="384"/>
      <c r="E20" s="384"/>
      <c r="F20" s="384"/>
      <c r="G20" s="384"/>
      <c r="H20" s="384"/>
      <c r="I20" s="689" t="s">
        <v>137</v>
      </c>
      <c r="J20" s="384"/>
      <c r="K20" s="384"/>
      <c r="L20" s="385" t="s">
        <v>64</v>
      </c>
      <c r="M20" s="384"/>
      <c r="N20" s="384"/>
      <c r="O20" s="384"/>
      <c r="P20" s="386"/>
      <c r="Q20" s="190"/>
      <c r="R20" s="236"/>
      <c r="S20" s="236"/>
      <c r="T20" s="236"/>
      <c r="U20" s="387"/>
      <c r="V20" s="387"/>
      <c r="W20" s="387"/>
      <c r="X20" s="387"/>
      <c r="Y20" s="387"/>
      <c r="Z20" s="387"/>
      <c r="AA20" s="387"/>
      <c r="AB20" s="387"/>
      <c r="AC20" s="387"/>
      <c r="AD20" s="236"/>
      <c r="AE20" s="236"/>
      <c r="AF20" s="378"/>
    </row>
    <row r="21" spans="1:32" x14ac:dyDescent="0.5">
      <c r="A21" s="383"/>
      <c r="B21" s="687" t="s">
        <v>138</v>
      </c>
      <c r="C21" s="692"/>
      <c r="D21" s="577" t="s">
        <v>139</v>
      </c>
      <c r="E21" s="384" t="s">
        <v>73</v>
      </c>
      <c r="F21" s="384"/>
      <c r="G21" s="388" t="s">
        <v>140</v>
      </c>
      <c r="H21" s="576"/>
      <c r="I21" s="690"/>
      <c r="J21" s="389"/>
      <c r="K21" s="384"/>
      <c r="L21" s="390" t="s">
        <v>141</v>
      </c>
      <c r="M21" s="1"/>
      <c r="N21" s="384"/>
      <c r="O21" s="384"/>
      <c r="P21" s="384"/>
      <c r="Q21" s="367"/>
      <c r="R21" s="236"/>
      <c r="S21" s="236"/>
      <c r="T21" s="236"/>
      <c r="U21" s="391"/>
      <c r="V21" s="391"/>
      <c r="W21" s="391"/>
      <c r="X21" s="391"/>
      <c r="Y21" s="391"/>
      <c r="Z21" s="391"/>
      <c r="AA21" s="391"/>
      <c r="AB21" s="391"/>
      <c r="AC21" s="687" t="s">
        <v>142</v>
      </c>
      <c r="AD21" s="687"/>
      <c r="AE21" s="687"/>
      <c r="AF21" s="378"/>
    </row>
    <row r="22" spans="1:32" ht="62.1" x14ac:dyDescent="0.5">
      <c r="A22" s="392" t="s">
        <v>55</v>
      </c>
      <c r="B22" s="393" t="s">
        <v>143</v>
      </c>
      <c r="C22" s="393" t="s">
        <v>144</v>
      </c>
      <c r="D22" s="393"/>
      <c r="E22" s="394" t="s">
        <v>145</v>
      </c>
      <c r="F22" s="575" t="s">
        <v>146</v>
      </c>
      <c r="G22" s="393" t="s">
        <v>143</v>
      </c>
      <c r="H22" s="393" t="s">
        <v>144</v>
      </c>
      <c r="I22" s="691"/>
      <c r="J22" s="575" t="s">
        <v>147</v>
      </c>
      <c r="K22" s="394"/>
      <c r="L22" s="388" t="s">
        <v>66</v>
      </c>
      <c r="M22" s="395" t="s">
        <v>138</v>
      </c>
      <c r="N22" s="396" t="s">
        <v>148</v>
      </c>
      <c r="O22" s="575" t="s">
        <v>149</v>
      </c>
      <c r="P22" s="396" t="s">
        <v>150</v>
      </c>
      <c r="Q22" s="575" t="s">
        <v>151</v>
      </c>
      <c r="R22" s="236"/>
      <c r="S22" s="574" t="s">
        <v>152</v>
      </c>
      <c r="T22" s="574" t="s">
        <v>153</v>
      </c>
      <c r="U22" s="397" t="s">
        <v>154</v>
      </c>
      <c r="V22" s="398" t="s">
        <v>155</v>
      </c>
      <c r="W22" s="398" t="s">
        <v>156</v>
      </c>
      <c r="X22" s="398" t="s">
        <v>157</v>
      </c>
      <c r="Y22" s="398" t="s">
        <v>158</v>
      </c>
      <c r="Z22" s="398" t="s">
        <v>159</v>
      </c>
      <c r="AA22" s="398"/>
      <c r="AB22" s="574" t="s">
        <v>160</v>
      </c>
      <c r="AC22" s="571" t="s">
        <v>161</v>
      </c>
      <c r="AD22" s="571" t="s">
        <v>90</v>
      </c>
      <c r="AE22" s="572" t="s">
        <v>79</v>
      </c>
      <c r="AF22" s="399" t="s">
        <v>162</v>
      </c>
    </row>
    <row r="23" spans="1:32" x14ac:dyDescent="0.5">
      <c r="A23" s="400">
        <v>2016</v>
      </c>
      <c r="B23" s="401">
        <v>356</v>
      </c>
      <c r="C23" s="401">
        <v>0</v>
      </c>
      <c r="D23" s="401">
        <v>7</v>
      </c>
      <c r="E23" s="401">
        <v>0</v>
      </c>
      <c r="F23" s="401">
        <v>0</v>
      </c>
      <c r="G23" s="401">
        <v>744</v>
      </c>
      <c r="H23" s="401">
        <v>19.8</v>
      </c>
      <c r="I23" s="402">
        <v>1126.8</v>
      </c>
      <c r="J23" s="402">
        <v>680</v>
      </c>
      <c r="K23" s="403"/>
      <c r="L23" s="404">
        <v>200</v>
      </c>
      <c r="M23" s="402">
        <v>15937</v>
      </c>
      <c r="N23" s="402"/>
      <c r="O23" s="402"/>
      <c r="P23" s="402">
        <v>66</v>
      </c>
      <c r="Q23" s="201">
        <v>16683</v>
      </c>
      <c r="R23" s="236"/>
      <c r="S23" s="405">
        <v>10</v>
      </c>
      <c r="T23" s="405">
        <v>1524</v>
      </c>
      <c r="U23" s="405"/>
      <c r="V23" s="405"/>
      <c r="W23" s="406" t="s">
        <v>163</v>
      </c>
      <c r="X23" s="405"/>
      <c r="Y23" s="405"/>
      <c r="Z23" s="405"/>
      <c r="AA23" s="201"/>
      <c r="AB23" s="405"/>
      <c r="AC23" s="201"/>
      <c r="AD23" s="404"/>
      <c r="AE23" s="404"/>
      <c r="AF23" s="407"/>
    </row>
    <row r="24" spans="1:32" ht="13.2" thickBot="1" x14ac:dyDescent="0.55000000000000004">
      <c r="A24" s="400">
        <v>2017</v>
      </c>
      <c r="B24" s="373">
        <v>0</v>
      </c>
      <c r="C24" s="373">
        <v>0</v>
      </c>
      <c r="D24" s="373">
        <v>15</v>
      </c>
      <c r="E24" s="373">
        <v>0</v>
      </c>
      <c r="F24" s="373">
        <v>0</v>
      </c>
      <c r="G24" s="373">
        <v>264</v>
      </c>
      <c r="H24" s="373">
        <v>11</v>
      </c>
      <c r="I24" s="402">
        <v>290</v>
      </c>
      <c r="J24" s="373">
        <v>280</v>
      </c>
      <c r="K24" s="373"/>
      <c r="L24" s="373">
        <v>6</v>
      </c>
      <c r="M24" s="373">
        <v>4200</v>
      </c>
      <c r="N24" s="373">
        <v>0</v>
      </c>
      <c r="O24" s="373">
        <v>0</v>
      </c>
      <c r="P24" s="373">
        <v>0</v>
      </c>
      <c r="Q24" s="201">
        <v>4480</v>
      </c>
      <c r="R24" s="374"/>
      <c r="S24" s="408">
        <v>0</v>
      </c>
      <c r="T24" s="408">
        <v>885</v>
      </c>
      <c r="U24" s="374">
        <v>2609</v>
      </c>
      <c r="V24" s="374"/>
      <c r="W24" s="409" t="s">
        <v>163</v>
      </c>
      <c r="X24" s="374"/>
      <c r="Y24" s="374"/>
      <c r="Z24" s="374"/>
      <c r="AA24" s="374"/>
      <c r="AB24" s="374"/>
      <c r="AC24" s="374"/>
      <c r="AD24" s="374"/>
      <c r="AE24" s="374">
        <v>263</v>
      </c>
      <c r="AF24" s="375"/>
    </row>
    <row r="25" spans="1:32" ht="13.2" thickTop="1" x14ac:dyDescent="0.5"/>
  </sheetData>
  <mergeCells count="8">
    <mergeCell ref="B1:D1"/>
    <mergeCell ref="X3:AF3"/>
    <mergeCell ref="AK5:AL5"/>
    <mergeCell ref="AK6:AL6"/>
    <mergeCell ref="U19:AF19"/>
    <mergeCell ref="I20:I22"/>
    <mergeCell ref="B21:C21"/>
    <mergeCell ref="AC21:AE2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73</vt:i4>
      </vt:variant>
      <vt:variant>
        <vt:lpstr>Named Ranges</vt:lpstr>
      </vt:variant>
      <vt:variant>
        <vt:i4>15</vt:i4>
      </vt:variant>
    </vt:vector>
  </HeadingPairs>
  <TitlesOfParts>
    <vt:vector size="88" baseType="lpstr">
      <vt:lpstr>Information</vt:lpstr>
      <vt:lpstr>T1 </vt:lpstr>
      <vt:lpstr>T2</vt:lpstr>
      <vt:lpstr>T3</vt:lpstr>
      <vt:lpstr>T4</vt:lpstr>
      <vt:lpstr>T5</vt:lpstr>
      <vt:lpstr>T6</vt:lpstr>
      <vt:lpstr>T7Static</vt:lpstr>
      <vt:lpstr>T7Manip</vt:lpstr>
      <vt:lpstr>T8Static</vt:lpstr>
      <vt:lpstr>T8Manip</vt:lpstr>
      <vt:lpstr>T9</vt:lpstr>
      <vt:lpstr>T10manip</vt:lpstr>
      <vt:lpstr>T10</vt:lpstr>
      <vt:lpstr>T11</vt:lpstr>
      <vt:lpstr>T12</vt:lpstr>
      <vt:lpstr>T13</vt:lpstr>
      <vt:lpstr>T14</vt:lpstr>
      <vt:lpstr>T15</vt:lpstr>
      <vt:lpstr>T16 </vt:lpstr>
      <vt:lpstr>T17</vt:lpstr>
      <vt:lpstr>T18</vt:lpstr>
      <vt:lpstr>T19 </vt:lpstr>
      <vt:lpstr>T20</vt:lpstr>
      <vt:lpstr>T21</vt:lpstr>
      <vt:lpstr>T22</vt:lpstr>
      <vt:lpstr>T23</vt:lpstr>
      <vt:lpstr>T24</vt:lpstr>
      <vt:lpstr>T25</vt:lpstr>
      <vt:lpstr>T26</vt:lpstr>
      <vt:lpstr>T27</vt:lpstr>
      <vt:lpstr>T28</vt:lpstr>
      <vt:lpstr>T29</vt:lpstr>
      <vt:lpstr>T30</vt:lpstr>
      <vt:lpstr>T31</vt:lpstr>
      <vt:lpstr>T32</vt:lpstr>
      <vt:lpstr>T33</vt:lpstr>
      <vt:lpstr>T34</vt:lpstr>
      <vt:lpstr>T35</vt:lpstr>
      <vt:lpstr>T36</vt:lpstr>
      <vt:lpstr>T37</vt:lpstr>
      <vt:lpstr>T38</vt:lpstr>
      <vt:lpstr>T39</vt:lpstr>
      <vt:lpstr>T40</vt:lpstr>
      <vt:lpstr>T41</vt:lpstr>
      <vt:lpstr>T42</vt:lpstr>
      <vt:lpstr>T43</vt:lpstr>
      <vt:lpstr>T44</vt:lpstr>
      <vt:lpstr>T45</vt:lpstr>
      <vt:lpstr>T46</vt:lpstr>
      <vt:lpstr>T47</vt:lpstr>
      <vt:lpstr>T48</vt:lpstr>
      <vt:lpstr>T49</vt:lpstr>
      <vt:lpstr>T50</vt:lpstr>
      <vt:lpstr>T51</vt:lpstr>
      <vt:lpstr>T52</vt:lpstr>
      <vt:lpstr>Figures</vt:lpstr>
      <vt:lpstr>A1 2018 ESA Impacts</vt:lpstr>
      <vt:lpstr>A2 Treaty Trib ESA Impacts</vt:lpstr>
      <vt:lpstr>A3 RME ESA Impact</vt:lpstr>
      <vt:lpstr>A2 fall model</vt:lpstr>
      <vt:lpstr>Abundance data</vt:lpstr>
      <vt:lpstr>ESA Impact 2014</vt:lpstr>
      <vt:lpstr>ESA Impact 2013</vt:lpstr>
      <vt:lpstr> ESA Impact 2012</vt:lpstr>
      <vt:lpstr>ESA Impact 2011</vt:lpstr>
      <vt:lpstr>ESA Impact 2010</vt:lpstr>
      <vt:lpstr>ESA Impact 2009</vt:lpstr>
      <vt:lpstr>ESA Impact 2008</vt:lpstr>
      <vt:lpstr>OR_ID Spring Detail</vt:lpstr>
      <vt:lpstr>AppendixA ESA 2017</vt:lpstr>
      <vt:lpstr>LGR Sthd</vt:lpstr>
      <vt:lpstr>BonSThd</vt:lpstr>
      <vt:lpstr>T8Manip!_Ref494206189</vt:lpstr>
      <vt:lpstr>T10manip!_Ref513145221</vt:lpstr>
      <vt:lpstr>T10manip!_Toc451091341</vt:lpstr>
      <vt:lpstr>Figures!_Toc451091373</vt:lpstr>
      <vt:lpstr>Figures!_Toc451091374</vt:lpstr>
      <vt:lpstr>'Abundance data'!_Toc485835523</vt:lpstr>
      <vt:lpstr>'Abundance data'!_Toc485835525</vt:lpstr>
      <vt:lpstr>'A1 2018 ESA Impacts'!_Toc513061017</vt:lpstr>
      <vt:lpstr>'A2 fall model'!_Toc513061018</vt:lpstr>
      <vt:lpstr>Figures!_Toc513192427</vt:lpstr>
      <vt:lpstr>Figures!_Toc513192428</vt:lpstr>
      <vt:lpstr>Figures!_Toc513192429</vt:lpstr>
      <vt:lpstr>Figures!_Toc513192432</vt:lpstr>
      <vt:lpstr>Figures!_Toc513192433</vt:lpstr>
      <vt:lpstr>'AppendixA ESA 2017'!Print_Area</vt:lpstr>
    </vt:vector>
  </TitlesOfParts>
  <Manager/>
  <Company>Department of Fish and Game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TAC</dc:creator>
  <cp:keywords/>
  <dc:description/>
  <cp:lastModifiedBy>Adam J Storch</cp:lastModifiedBy>
  <cp:revision/>
  <dcterms:created xsi:type="dcterms:W3CDTF">2012-04-23T19:43:18Z</dcterms:created>
  <dcterms:modified xsi:type="dcterms:W3CDTF">2021-01-05T03:01:23Z</dcterms:modified>
  <cp:category/>
  <cp:contentStatus/>
</cp:coreProperties>
</file>