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2020 Forecast\Data\"/>
    </mc:Choice>
  </mc:AlternateContent>
  <bookViews>
    <workbookView xWindow="480" yWindow="132" windowWidth="18192" windowHeight="11700" activeTab="2"/>
  </bookViews>
  <sheets>
    <sheet name="2019 Final" sheetId="1" r:id="rId1"/>
    <sheet name="Worksheet" sheetId="2" r:id="rId2"/>
    <sheet name="Hatchery-Wild Breakdown" sheetId="3" r:id="rId3"/>
  </sheets>
  <definedNames>
    <definedName name="_xlnm.Print_Area" localSheetId="0">'2019 Final'!$A$1:$H$43</definedName>
    <definedName name="_xlnm.Print_Area" localSheetId="1">Worksheet!$A$1:$K$45</definedName>
  </definedNames>
  <calcPr calcId="162913"/>
</workbook>
</file>

<file path=xl/calcChain.xml><?xml version="1.0" encoding="utf-8"?>
<calcChain xmlns="http://schemas.openxmlformats.org/spreadsheetml/2006/main">
  <c r="C58" i="3" l="1"/>
  <c r="T47" i="3" l="1"/>
  <c r="H13" i="3" l="1"/>
  <c r="G13" i="3"/>
  <c r="F13" i="3"/>
  <c r="E13" i="3"/>
  <c r="D13" i="3"/>
  <c r="G27" i="2" l="1"/>
  <c r="G26" i="2"/>
  <c r="G25" i="2"/>
  <c r="G24" i="2"/>
  <c r="G23" i="2"/>
  <c r="G22" i="2"/>
  <c r="G21" i="2"/>
  <c r="G20" i="2"/>
  <c r="G19" i="2"/>
  <c r="G13" i="2"/>
  <c r="G12" i="2"/>
  <c r="G11" i="2"/>
  <c r="G10" i="2"/>
  <c r="G9" i="2"/>
  <c r="G8" i="2"/>
  <c r="G7" i="2"/>
  <c r="F27" i="2"/>
  <c r="F26" i="2"/>
  <c r="F24" i="2"/>
  <c r="F23" i="2"/>
  <c r="F22" i="2"/>
  <c r="F21" i="2"/>
  <c r="F20" i="2"/>
  <c r="F13" i="2"/>
  <c r="F12" i="2"/>
  <c r="F11" i="2"/>
  <c r="F10" i="2"/>
  <c r="F9" i="2"/>
  <c r="E12" i="2"/>
  <c r="D25" i="2"/>
  <c r="E27" i="2"/>
  <c r="E25" i="2"/>
  <c r="E24" i="2"/>
  <c r="E23" i="2"/>
  <c r="E22" i="2"/>
  <c r="E21" i="2"/>
  <c r="E19" i="2"/>
  <c r="D27" i="2"/>
  <c r="D26" i="2"/>
  <c r="D24" i="2"/>
  <c r="D23" i="2"/>
  <c r="D22" i="2"/>
  <c r="D21" i="2"/>
  <c r="D20" i="2"/>
  <c r="D19" i="2"/>
  <c r="D13" i="2"/>
  <c r="D11" i="2"/>
  <c r="D10" i="2"/>
  <c r="D9" i="2"/>
  <c r="E13" i="2"/>
  <c r="E11" i="2"/>
  <c r="E10" i="2"/>
  <c r="E9" i="2"/>
  <c r="K19" i="2" l="1"/>
  <c r="H64" i="2"/>
  <c r="H12" i="2"/>
  <c r="H10" i="2"/>
  <c r="H54" i="1"/>
  <c r="H55" i="1"/>
  <c r="G55" i="1"/>
  <c r="G56" i="1"/>
  <c r="G57" i="1"/>
  <c r="G58" i="1"/>
  <c r="G59" i="1"/>
  <c r="G60" i="1"/>
  <c r="G61" i="1"/>
  <c r="G62" i="1"/>
  <c r="G63" i="1"/>
  <c r="G64" i="1"/>
  <c r="F55" i="1"/>
  <c r="F56" i="1"/>
  <c r="F57" i="1"/>
  <c r="F58" i="1"/>
  <c r="F59" i="1"/>
  <c r="F60" i="1"/>
  <c r="F61" i="1"/>
  <c r="F62" i="1"/>
  <c r="F63" i="1"/>
  <c r="F64" i="1"/>
  <c r="E55" i="1"/>
  <c r="E56" i="1"/>
  <c r="E57" i="1"/>
  <c r="E58" i="1"/>
  <c r="E59" i="1"/>
  <c r="E60" i="1"/>
  <c r="E61" i="1"/>
  <c r="E62" i="1"/>
  <c r="E63" i="1"/>
  <c r="E64" i="1"/>
  <c r="D55" i="1"/>
  <c r="D56" i="1"/>
  <c r="D57" i="1"/>
  <c r="D58" i="1"/>
  <c r="D59" i="1"/>
  <c r="D60" i="1"/>
  <c r="D61" i="1"/>
  <c r="D62" i="1"/>
  <c r="D63" i="1"/>
  <c r="D64" i="1"/>
  <c r="H13" i="1"/>
  <c r="D52" i="1"/>
  <c r="I25" i="2" l="1"/>
  <c r="G13" i="1" l="1"/>
  <c r="D13" i="1" l="1"/>
  <c r="I13" i="1" s="1"/>
  <c r="E13" i="1"/>
  <c r="I19" i="2" l="1"/>
  <c r="H38" i="2" l="1"/>
  <c r="H29" i="2" l="1"/>
  <c r="H55" i="2" l="1"/>
  <c r="G54" i="1" l="1"/>
  <c r="G53" i="1"/>
  <c r="G52" i="1"/>
  <c r="G51" i="1"/>
  <c r="G50" i="1"/>
  <c r="G49" i="1"/>
  <c r="G48" i="1"/>
  <c r="F54" i="1"/>
  <c r="F53" i="1"/>
  <c r="F52" i="1"/>
  <c r="F51" i="1"/>
  <c r="F50" i="1"/>
  <c r="F49" i="1"/>
  <c r="F48" i="1"/>
  <c r="E54" i="1"/>
  <c r="E53" i="1"/>
  <c r="E52" i="1"/>
  <c r="E51" i="1"/>
  <c r="E50" i="1"/>
  <c r="E49" i="1"/>
  <c r="E48" i="1"/>
  <c r="D54" i="1"/>
  <c r="D53" i="1"/>
  <c r="D51" i="1"/>
  <c r="D50" i="1"/>
  <c r="D49" i="1"/>
  <c r="D48" i="1"/>
  <c r="H48" i="2"/>
  <c r="H49" i="2"/>
  <c r="H50" i="2"/>
  <c r="H51" i="2"/>
  <c r="H52" i="2"/>
  <c r="H53" i="2"/>
  <c r="H54" i="2"/>
  <c r="H56" i="2"/>
  <c r="H57" i="2"/>
  <c r="H58" i="2"/>
  <c r="H59" i="2"/>
  <c r="H60" i="2"/>
  <c r="H61" i="2"/>
  <c r="H62" i="2"/>
  <c r="H63" i="2"/>
  <c r="H50" i="1" l="1"/>
  <c r="H49" i="1"/>
  <c r="H48" i="1"/>
  <c r="H22" i="3"/>
  <c r="H21" i="3"/>
  <c r="H7" i="3" l="1"/>
  <c r="I7" i="3" l="1"/>
  <c r="H6" i="3" l="1"/>
  <c r="H8" i="3"/>
  <c r="O7" i="3" s="1"/>
  <c r="I6" i="3" l="1"/>
  <c r="H64" i="1"/>
  <c r="H63" i="1"/>
  <c r="H62" i="1"/>
  <c r="H61" i="1"/>
  <c r="H60" i="1"/>
  <c r="H59" i="1"/>
  <c r="H58" i="1"/>
  <c r="H57" i="1"/>
  <c r="H56" i="1"/>
  <c r="H53" i="1"/>
  <c r="H52" i="1"/>
  <c r="H51" i="1"/>
  <c r="J6" i="3" l="1"/>
  <c r="H27" i="3"/>
  <c r="J27" i="3" s="1"/>
  <c r="L27" i="3" s="1"/>
  <c r="I21" i="2"/>
  <c r="G20" i="3" l="1"/>
  <c r="A1" i="1"/>
  <c r="A1" i="3" s="1"/>
  <c r="H26" i="3" l="1"/>
  <c r="H25" i="3"/>
  <c r="I25" i="3" s="1"/>
  <c r="H24" i="3"/>
  <c r="J24" i="3" s="1"/>
  <c r="H23" i="3"/>
  <c r="I21" i="3"/>
  <c r="H20" i="3"/>
  <c r="H19" i="3"/>
  <c r="J19" i="3" s="1"/>
  <c r="H19" i="1"/>
  <c r="G20" i="1"/>
  <c r="H20" i="1"/>
  <c r="H21" i="1"/>
  <c r="H22" i="1"/>
  <c r="H23" i="1"/>
  <c r="H24" i="1"/>
  <c r="H25" i="1"/>
  <c r="H26" i="1"/>
  <c r="H27" i="1"/>
  <c r="H12" i="3"/>
  <c r="H11" i="3"/>
  <c r="H10" i="3"/>
  <c r="D7" i="3"/>
  <c r="H38" i="3" l="1"/>
  <c r="N20" i="3"/>
  <c r="J20" i="3" s="1"/>
  <c r="N19" i="3"/>
  <c r="I20" i="3"/>
  <c r="H29" i="1"/>
  <c r="D19" i="3" l="1"/>
  <c r="L19" i="3" s="1"/>
  <c r="D19" i="1"/>
  <c r="I19" i="1" s="1"/>
  <c r="H29" i="3"/>
  <c r="H6" i="1" l="1"/>
  <c r="H7" i="1"/>
  <c r="H8" i="1"/>
  <c r="H10" i="1"/>
  <c r="H11" i="1"/>
  <c r="H12" i="1"/>
  <c r="H38" i="1" l="1"/>
  <c r="J19" i="2"/>
  <c r="I23" i="3"/>
  <c r="J12" i="3"/>
  <c r="I11" i="3"/>
  <c r="J10" i="3"/>
  <c r="J8" i="3"/>
  <c r="J15" i="3" s="1"/>
  <c r="K24" i="2"/>
  <c r="I23" i="2"/>
  <c r="J21" i="2"/>
  <c r="D7" i="1"/>
  <c r="I7" i="1" s="1"/>
  <c r="T21" i="3" l="1"/>
  <c r="K26" i="2"/>
  <c r="I22" i="2"/>
  <c r="K22" i="2"/>
  <c r="E38" i="2"/>
  <c r="D29" i="2"/>
  <c r="E29" i="2"/>
  <c r="F29" i="2"/>
  <c r="D38" i="2"/>
  <c r="D39" i="2" s="1"/>
  <c r="G25" i="3"/>
  <c r="G25" i="1"/>
  <c r="D24" i="3"/>
  <c r="L24" i="3" s="1"/>
  <c r="D24" i="1"/>
  <c r="I24" i="1" s="1"/>
  <c r="D20" i="3"/>
  <c r="L20" i="3" s="1"/>
  <c r="D20" i="1"/>
  <c r="I20" i="1" s="1"/>
  <c r="F27" i="1"/>
  <c r="F27" i="3"/>
  <c r="G22" i="1"/>
  <c r="G22" i="3"/>
  <c r="G19" i="1"/>
  <c r="G19" i="3"/>
  <c r="F20" i="1"/>
  <c r="F20" i="3"/>
  <c r="D23" i="3"/>
  <c r="D23" i="1"/>
  <c r="I23" i="1" s="1"/>
  <c r="D25" i="1"/>
  <c r="I25" i="1" s="1"/>
  <c r="D25" i="3"/>
  <c r="G26" i="1"/>
  <c r="G26" i="3"/>
  <c r="G21" i="1"/>
  <c r="G21" i="3"/>
  <c r="E27" i="3"/>
  <c r="E27" i="1"/>
  <c r="D22" i="1"/>
  <c r="I22" i="1" s="1"/>
  <c r="D22" i="3"/>
  <c r="D11" i="1"/>
  <c r="I11" i="1" s="1"/>
  <c r="D11" i="3"/>
  <c r="D38" i="3" s="1"/>
  <c r="E24" i="3"/>
  <c r="E24" i="1"/>
  <c r="E19" i="3"/>
  <c r="E19" i="1"/>
  <c r="F24" i="1"/>
  <c r="F24" i="3"/>
  <c r="F19" i="3"/>
  <c r="F19" i="1"/>
  <c r="G24" i="3"/>
  <c r="G24" i="1"/>
  <c r="D12" i="1"/>
  <c r="I12" i="1" s="1"/>
  <c r="D12" i="3"/>
  <c r="L12" i="3" s="1"/>
  <c r="D21" i="1"/>
  <c r="I21" i="1" s="1"/>
  <c r="D21" i="3"/>
  <c r="E23" i="3"/>
  <c r="E23" i="1"/>
  <c r="E25" i="1"/>
  <c r="E25" i="3"/>
  <c r="F26" i="3"/>
  <c r="F26" i="1"/>
  <c r="D26" i="3"/>
  <c r="D26" i="1"/>
  <c r="I26" i="1" s="1"/>
  <c r="E22" i="3"/>
  <c r="E22" i="1"/>
  <c r="D27" i="3"/>
  <c r="D27" i="1"/>
  <c r="I27" i="1" s="1"/>
  <c r="F22" i="3"/>
  <c r="F22" i="1"/>
  <c r="E20" i="1"/>
  <c r="E20" i="3"/>
  <c r="G27" i="1"/>
  <c r="G27" i="3"/>
  <c r="D10" i="1"/>
  <c r="I10" i="1" s="1"/>
  <c r="D10" i="3"/>
  <c r="L10" i="3" s="1"/>
  <c r="E21" i="1"/>
  <c r="E21" i="3"/>
  <c r="F23" i="1"/>
  <c r="F23" i="3"/>
  <c r="F25" i="3"/>
  <c r="F25" i="1"/>
  <c r="D8" i="3"/>
  <c r="L8" i="3" s="1"/>
  <c r="E26" i="3"/>
  <c r="E26" i="1"/>
  <c r="D6" i="1"/>
  <c r="D6" i="3"/>
  <c r="D8" i="1"/>
  <c r="I8" i="1" s="1"/>
  <c r="K27" i="2"/>
  <c r="I24" i="2"/>
  <c r="J24" i="2" s="1"/>
  <c r="I26" i="2"/>
  <c r="I27" i="2"/>
  <c r="K25" i="2"/>
  <c r="I22" i="3"/>
  <c r="S21" i="3" s="1"/>
  <c r="U21" i="3" s="1"/>
  <c r="K20" i="2"/>
  <c r="I20" i="2"/>
  <c r="L6" i="3" l="1"/>
  <c r="I6" i="1"/>
  <c r="I26" i="3"/>
  <c r="I38" i="3" s="1"/>
  <c r="D38" i="1"/>
  <c r="E29" i="1"/>
  <c r="D29" i="1"/>
  <c r="I29" i="1" s="1"/>
  <c r="D39" i="3"/>
  <c r="E29" i="3"/>
  <c r="D29" i="3"/>
  <c r="J25" i="2"/>
  <c r="J22" i="2"/>
  <c r="J26" i="2"/>
  <c r="J27" i="2"/>
  <c r="J20" i="2"/>
  <c r="J26" i="3" l="1"/>
  <c r="J38" i="3" s="1"/>
  <c r="J42" i="3" s="1"/>
  <c r="L26" i="3"/>
  <c r="D39" i="1"/>
  <c r="I38" i="1"/>
  <c r="I39" i="3" l="1"/>
  <c r="G8" i="1"/>
  <c r="G8" i="3"/>
  <c r="E8" i="1"/>
  <c r="E8" i="3"/>
  <c r="G7" i="3"/>
  <c r="G7" i="1"/>
  <c r="E12" i="1"/>
  <c r="E12" i="3"/>
  <c r="E10" i="1"/>
  <c r="E10" i="3"/>
  <c r="E6" i="3"/>
  <c r="E6" i="1"/>
  <c r="G12" i="3"/>
  <c r="G12" i="1"/>
  <c r="E7" i="1"/>
  <c r="E7" i="3"/>
  <c r="G10" i="3"/>
  <c r="G10" i="1"/>
  <c r="G6" i="1"/>
  <c r="G6" i="3"/>
  <c r="E11" i="1"/>
  <c r="E11" i="3"/>
  <c r="E38" i="3" s="1"/>
  <c r="G11" i="3"/>
  <c r="G11" i="1"/>
  <c r="E39" i="3" l="1"/>
  <c r="E38" i="1"/>
  <c r="E39" i="1" s="1"/>
  <c r="E39" i="2"/>
  <c r="F21" i="1" l="1"/>
  <c r="F21" i="3"/>
  <c r="K21" i="2"/>
  <c r="F29" i="3" l="1"/>
  <c r="F29" i="1"/>
  <c r="I29" i="3" l="1"/>
  <c r="J39" i="3" l="1"/>
  <c r="L29" i="3"/>
  <c r="J29" i="3"/>
  <c r="J32" i="3" s="1"/>
  <c r="J44" i="3" l="1"/>
  <c r="J35" i="3"/>
  <c r="K23" i="2"/>
  <c r="G38" i="2"/>
  <c r="G23" i="1"/>
  <c r="G29" i="1" s="1"/>
  <c r="G23" i="3"/>
  <c r="G29" i="2"/>
  <c r="G29" i="3" l="1"/>
  <c r="G38" i="3"/>
  <c r="H43" i="2"/>
  <c r="H43" i="1"/>
  <c r="G39" i="3"/>
  <c r="G38" i="1"/>
  <c r="G39" i="1" s="1"/>
  <c r="K29" i="2"/>
  <c r="I29" i="2"/>
  <c r="J29" i="2" s="1"/>
  <c r="G39" i="2"/>
  <c r="J23" i="2"/>
  <c r="G15" i="2"/>
  <c r="G32" i="2" s="1"/>
  <c r="E15" i="2"/>
  <c r="E9" i="3"/>
  <c r="H15" i="2"/>
  <c r="H32" i="2" s="1"/>
  <c r="H35" i="2" s="1"/>
  <c r="H9" i="1"/>
  <c r="H15" i="1"/>
  <c r="H32" i="1" s="1"/>
  <c r="G9" i="3"/>
  <c r="G9" i="1"/>
  <c r="G15" i="1" s="1"/>
  <c r="G32" i="1" s="1"/>
  <c r="H9" i="3"/>
  <c r="O9" i="3" s="1"/>
  <c r="H15" i="3" l="1"/>
  <c r="H32" i="3" s="1"/>
  <c r="J33" i="3" s="1"/>
  <c r="E15" i="3"/>
  <c r="E32" i="3" s="1"/>
  <c r="G15" i="3"/>
  <c r="G32" i="3" s="1"/>
  <c r="G33" i="2"/>
  <c r="G35" i="2"/>
  <c r="G36" i="2" s="1"/>
  <c r="E32" i="2"/>
  <c r="H35" i="1"/>
  <c r="I32" i="1"/>
  <c r="I9" i="1"/>
  <c r="G35" i="1"/>
  <c r="G33" i="1"/>
  <c r="D9" i="1"/>
  <c r="D15" i="1" s="1"/>
  <c r="D32" i="1" s="1"/>
  <c r="D9" i="3"/>
  <c r="H35" i="3"/>
  <c r="J36" i="3" s="1"/>
  <c r="E9" i="1"/>
  <c r="E15" i="1" s="1"/>
  <c r="E32" i="1" s="1"/>
  <c r="E33" i="1" s="1"/>
  <c r="I9" i="3"/>
  <c r="I42" i="3" s="1"/>
  <c r="D15" i="2"/>
  <c r="H42" i="3" l="1"/>
  <c r="J43" i="3" s="1"/>
  <c r="G33" i="3"/>
  <c r="G35" i="3"/>
  <c r="G36" i="3" s="1"/>
  <c r="E35" i="3"/>
  <c r="E36" i="3" s="1"/>
  <c r="E33" i="3"/>
  <c r="I15" i="3"/>
  <c r="I32" i="3" s="1"/>
  <c r="I33" i="3" s="1"/>
  <c r="D15" i="3"/>
  <c r="D32" i="3" s="1"/>
  <c r="D32" i="2"/>
  <c r="E35" i="1"/>
  <c r="E36" i="1" s="1"/>
  <c r="D35" i="1"/>
  <c r="D36" i="1" s="1"/>
  <c r="D33" i="1"/>
  <c r="G36" i="1"/>
  <c r="E35" i="2"/>
  <c r="E33" i="2"/>
  <c r="I15" i="1"/>
  <c r="I43" i="3" l="1"/>
  <c r="D35" i="3"/>
  <c r="D36" i="3" s="1"/>
  <c r="D33" i="3"/>
  <c r="I44" i="3"/>
  <c r="I35" i="1"/>
  <c r="E36" i="2"/>
  <c r="I35" i="3"/>
  <c r="I36" i="3" s="1"/>
  <c r="D35" i="2"/>
  <c r="D33" i="2"/>
  <c r="H42" i="1" l="1"/>
  <c r="H45" i="1" s="1"/>
  <c r="H42" i="2"/>
  <c r="H45" i="2" s="1"/>
  <c r="D36" i="2"/>
  <c r="F10" i="3" l="1"/>
  <c r="F10" i="1"/>
  <c r="K10" i="2"/>
  <c r="K11" i="2"/>
  <c r="K12" i="2"/>
  <c r="F12" i="3"/>
  <c r="F12" i="1"/>
  <c r="F8" i="1"/>
  <c r="K8" i="2"/>
  <c r="F8" i="3"/>
  <c r="I12" i="2"/>
  <c r="J12" i="2" s="1"/>
  <c r="F13" i="1"/>
  <c r="I13" i="2"/>
  <c r="J13" i="2" s="1"/>
  <c r="K13" i="2"/>
  <c r="F9" i="1"/>
  <c r="K9" i="2"/>
  <c r="I9" i="2"/>
  <c r="J9" i="2" s="1"/>
  <c r="F9" i="3"/>
  <c r="F7" i="1"/>
  <c r="K7" i="2"/>
  <c r="F7" i="3"/>
  <c r="I7" i="2"/>
  <c r="J7" i="2" s="1"/>
  <c r="F11" i="3"/>
  <c r="F38" i="3" s="1"/>
  <c r="I8" i="2"/>
  <c r="J8" i="2" s="1"/>
  <c r="F38" i="2"/>
  <c r="K38" i="2" s="1"/>
  <c r="I10" i="2"/>
  <c r="J10" i="2" s="1"/>
  <c r="I11" i="2"/>
  <c r="I38" i="2" s="1"/>
  <c r="J38" i="2" s="1"/>
  <c r="F11" i="1"/>
  <c r="F38" i="1"/>
  <c r="F39" i="1" s="1"/>
  <c r="K6" i="2"/>
  <c r="F15" i="2"/>
  <c r="I15" i="2" s="1"/>
  <c r="J15" i="2" s="1"/>
  <c r="F6" i="1"/>
  <c r="I6" i="2"/>
  <c r="J6" i="2" s="1"/>
  <c r="F6" i="3"/>
  <c r="F15" i="3" l="1"/>
  <c r="F39" i="3"/>
  <c r="J11" i="2"/>
  <c r="F39" i="2"/>
  <c r="N39" i="2" s="1"/>
  <c r="F32" i="3"/>
  <c r="F35" i="3" s="1"/>
  <c r="F36" i="3" s="1"/>
  <c r="F15" i="1"/>
  <c r="F32" i="1" s="1"/>
  <c r="F35" i="1" s="1"/>
  <c r="F36" i="1" s="1"/>
  <c r="F33" i="3"/>
  <c r="F32" i="2"/>
  <c r="K15" i="2"/>
  <c r="F33" i="1" l="1"/>
  <c r="K32" i="2"/>
  <c r="I32" i="2"/>
  <c r="J32" i="2" s="1"/>
  <c r="F33" i="2"/>
  <c r="N33" i="2" s="1"/>
  <c r="F35" i="2"/>
  <c r="K35" i="2" l="1"/>
  <c r="I35" i="2"/>
  <c r="J35" i="2" s="1"/>
  <c r="F36" i="2"/>
  <c r="N36" i="2" s="1"/>
</calcChain>
</file>

<file path=xl/comments1.xml><?xml version="1.0" encoding="utf-8"?>
<comments xmlns="http://schemas.openxmlformats.org/spreadsheetml/2006/main">
  <authors>
    <author>Robert Reagan</author>
  </authors>
  <commentList>
    <comment ref="F19" authorId="0" shapeId="0">
      <text>
        <r>
          <rPr>
            <b/>
            <sz val="16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Rounded down</t>
        </r>
      </text>
    </comment>
    <comment ref="E20" authorId="0" shapeId="0">
      <text>
        <r>
          <rPr>
            <b/>
            <sz val="16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Rounded down</t>
        </r>
      </text>
    </comment>
    <comment ref="F25" authorId="0" shapeId="0">
      <text>
        <r>
          <rPr>
            <b/>
            <sz val="16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Rounded up</t>
        </r>
      </text>
    </comment>
    <comment ref="E26" authorId="0" shapeId="0">
      <text>
        <r>
          <rPr>
            <b/>
            <sz val="16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Rounded up</t>
        </r>
      </text>
    </comment>
  </commentList>
</comments>
</file>

<file path=xl/comments2.xml><?xml version="1.0" encoding="utf-8"?>
<comments xmlns="http://schemas.openxmlformats.org/spreadsheetml/2006/main">
  <authors>
    <author>Kevleen Melcher</author>
  </authors>
  <commentList>
    <comment ref="T33" authorId="0" shapeId="0">
      <text>
        <r>
          <rPr>
            <b/>
            <sz val="9"/>
            <color indexed="81"/>
            <rFont val="Tahoma"/>
            <family val="2"/>
          </rPr>
          <t>Kevleen Melcher:</t>
        </r>
        <r>
          <rPr>
            <sz val="9"/>
            <color indexed="81"/>
            <rFont val="Tahoma"/>
            <family val="2"/>
          </rPr>
          <t xml:space="preserve">
from Final Big Sheets</t>
        </r>
      </text>
    </comment>
  </commentList>
</comments>
</file>

<file path=xl/sharedStrings.xml><?xml version="1.0" encoding="utf-8"?>
<sst xmlns="http://schemas.openxmlformats.org/spreadsheetml/2006/main" count="195" uniqueCount="108">
  <si>
    <t>Brood</t>
  </si>
  <si>
    <t>Catch</t>
  </si>
  <si>
    <t>Age 3</t>
  </si>
  <si>
    <t>Age 4</t>
  </si>
  <si>
    <t>Age 5</t>
  </si>
  <si>
    <t>Age 6</t>
  </si>
  <si>
    <t>Total</t>
  </si>
  <si>
    <t>SAF Commercial</t>
  </si>
  <si>
    <t>LCR Sport (kept catch)</t>
  </si>
  <si>
    <t>LCR Sport (release mortality)</t>
  </si>
  <si>
    <t>L. Will. Sport Fishery kept catch</t>
  </si>
  <si>
    <t>Lower Clackamas Sport (kept catch)</t>
  </si>
  <si>
    <t>Totals</t>
  </si>
  <si>
    <t xml:space="preserve"> </t>
  </si>
  <si>
    <t>Escapement</t>
  </si>
  <si>
    <t>Mortality Below Falls</t>
  </si>
  <si>
    <t>Natural Spawn Bel. N.F. Dam</t>
  </si>
  <si>
    <t>Run Entering Columbia</t>
  </si>
  <si>
    <t xml:space="preserve">      Percent</t>
  </si>
  <si>
    <t>Run Entering Willamette</t>
  </si>
  <si>
    <t>Run Entering Clackamas</t>
  </si>
  <si>
    <t xml:space="preserve">Clackamas fish run entering Willamette River. </t>
  </si>
  <si>
    <t>Age Comp Percentages</t>
  </si>
  <si>
    <t>LCR Sport (rel. mortality)</t>
  </si>
  <si>
    <t>Sum of D:G</t>
  </si>
  <si>
    <t>H - I</t>
  </si>
  <si>
    <t>Adults</t>
  </si>
  <si>
    <t>per final Will. Sport C and E summary</t>
  </si>
  <si>
    <t xml:space="preserve">per Debbie, counts end 15 Aug. </t>
  </si>
  <si>
    <t>Eagle Creek Hatchery Return</t>
  </si>
  <si>
    <t>North Fork Dam, Recycled Downstream</t>
  </si>
  <si>
    <r>
      <t xml:space="preserve">Willamette Falls Count </t>
    </r>
    <r>
      <rPr>
        <vertAlign val="superscript"/>
        <sz val="18"/>
        <rFont val="Arial"/>
        <family val="2"/>
      </rPr>
      <t>5</t>
    </r>
  </si>
  <si>
    <r>
      <t xml:space="preserve">Sea Lion Predation </t>
    </r>
    <r>
      <rPr>
        <vertAlign val="superscript"/>
        <sz val="18"/>
        <rFont val="Arial"/>
        <family val="2"/>
      </rPr>
      <t>5</t>
    </r>
  </si>
  <si>
    <r>
      <t>1</t>
    </r>
    <r>
      <rPr>
        <sz val="18"/>
        <rFont val="Arial"/>
        <family val="2"/>
      </rPr>
      <t xml:space="preserve">  Release mortality rate from Lindsey et. al. (12.2% of released fish).</t>
    </r>
  </si>
  <si>
    <r>
      <t xml:space="preserve">5  </t>
    </r>
    <r>
      <rPr>
        <sz val="18"/>
        <rFont val="Arial"/>
        <family val="2"/>
      </rPr>
      <t>Age composition based on scale analysis of Willamette River sport catch.</t>
    </r>
  </si>
  <si>
    <t>L. Will. Sport Fishery release mortality</t>
  </si>
  <si>
    <t>Lower Clackamas Sport (rel. mortality)</t>
  </si>
  <si>
    <t>Willamette Falls Count</t>
  </si>
  <si>
    <t>Clackamas Hatchery swim-ins</t>
  </si>
  <si>
    <t>Clackamas Hatchery transfers from N.F. Dam</t>
  </si>
  <si>
    <t>North Fork Dam, Passed Upstream</t>
  </si>
  <si>
    <t>Sea Lion Predation</t>
  </si>
  <si>
    <t>L. Will. Sport (rel. mortality)</t>
  </si>
  <si>
    <t xml:space="preserve">Lower Clackamas Sport (kept catch) </t>
  </si>
  <si>
    <t xml:space="preserve">Lower Clackamas Sport (rel. mortality) </t>
  </si>
  <si>
    <t xml:space="preserve">Willamette Falls Count </t>
  </si>
  <si>
    <t xml:space="preserve">Mortality Below Falls </t>
  </si>
  <si>
    <t xml:space="preserve">Eagle Creek Hatchery Return </t>
  </si>
  <si>
    <t xml:space="preserve">North Fork Dam, Passed Upstream </t>
  </si>
  <si>
    <t xml:space="preserve">Natural Spawn Bel. N.F. Dam </t>
  </si>
  <si>
    <t xml:space="preserve">Sea Lion Predation </t>
  </si>
  <si>
    <t>per Garth Wyatt, PGE</t>
  </si>
  <si>
    <t>Adult wild</t>
  </si>
  <si>
    <t>Hatchery</t>
  </si>
  <si>
    <t>Wild</t>
  </si>
  <si>
    <t>per Cam D.</t>
  </si>
  <si>
    <t xml:space="preserve">Clackamas hatchery's "swim-in" numbers </t>
  </si>
  <si>
    <t>per manager Caroline Peterschmidt, 503-630-6270 x-201</t>
  </si>
  <si>
    <t>falls unclipped rate</t>
  </si>
  <si>
    <t>falls clip rate</t>
  </si>
  <si>
    <r>
      <rPr>
        <vertAlign val="superscript"/>
        <sz val="18"/>
        <rFont val="Arial"/>
        <family val="2"/>
      </rPr>
      <t>2</t>
    </r>
    <r>
      <rPr>
        <sz val="18"/>
        <rFont val="Arial"/>
        <family val="2"/>
      </rPr>
      <t xml:space="preserve"> Willamette River carcass surveys.</t>
    </r>
  </si>
  <si>
    <r>
      <t xml:space="preserve">4  </t>
    </r>
    <r>
      <rPr>
        <sz val="18"/>
        <rFont val="Arial"/>
        <family val="2"/>
      </rPr>
      <t>Age composition based on scale analysis of Columbia River sport catch.</t>
    </r>
  </si>
  <si>
    <r>
      <t>LCR Sport (kept catch)</t>
    </r>
    <r>
      <rPr>
        <vertAlign val="superscript"/>
        <sz val="18"/>
        <rFont val="Arial"/>
        <family val="2"/>
      </rPr>
      <t xml:space="preserve"> 4</t>
    </r>
  </si>
  <si>
    <r>
      <t xml:space="preserve">LCR Sport (rel. mortality) </t>
    </r>
    <r>
      <rPr>
        <vertAlign val="superscript"/>
        <sz val="18"/>
        <rFont val="Arial"/>
        <family val="2"/>
      </rPr>
      <t>4</t>
    </r>
  </si>
  <si>
    <t>totals per Jimmy, age comp from KM</t>
  </si>
  <si>
    <t xml:space="preserve">2019 Willamette Spring Chinook Return to Columbia River        </t>
  </si>
  <si>
    <t>ODFW 2019 sea lion study, from Bryan Wright</t>
  </si>
  <si>
    <r>
      <t>Sea Lion Predation</t>
    </r>
    <r>
      <rPr>
        <vertAlign val="superscript"/>
        <sz val="18"/>
        <rFont val="Arial"/>
        <family val="2"/>
      </rPr>
      <t>3</t>
    </r>
  </si>
  <si>
    <r>
      <t xml:space="preserve">3  </t>
    </r>
    <r>
      <rPr>
        <sz val="18"/>
        <rFont val="Arial"/>
        <family val="2"/>
      </rPr>
      <t>Estimate based 2019 sea lion predation study.</t>
    </r>
  </si>
  <si>
    <r>
      <t xml:space="preserve">6 </t>
    </r>
    <r>
      <rPr>
        <sz val="18"/>
        <rFont val="Arial"/>
        <family val="2"/>
      </rPr>
      <t xml:space="preserve"> Age composition based on scale analysis of Clackamas Hatchery returns. </t>
    </r>
  </si>
  <si>
    <r>
      <t>Clackamas Hatchery transfers from N.F. Dam</t>
    </r>
    <r>
      <rPr>
        <vertAlign val="superscript"/>
        <sz val="18"/>
        <rFont val="Arial"/>
        <family val="2"/>
      </rPr>
      <t xml:space="preserve"> 6</t>
    </r>
  </si>
  <si>
    <r>
      <t xml:space="preserve">Eagle Creek Hatchery Return </t>
    </r>
    <r>
      <rPr>
        <vertAlign val="superscript"/>
        <sz val="18"/>
        <rFont val="Arial"/>
        <family val="2"/>
      </rPr>
      <t>6</t>
    </r>
  </si>
  <si>
    <t>Columbia R. Select Area Commercial</t>
  </si>
  <si>
    <t>from Kelly Dirksen (CTGR)</t>
  </si>
  <si>
    <t xml:space="preserve">See 1972-2019 Mortality below falls.xlsx </t>
  </si>
  <si>
    <t>per final Will. Sport C and E summary (released x 0.122)</t>
  </si>
  <si>
    <r>
      <t>Clackamas Hatchery transfers from N.F. Dam</t>
    </r>
    <r>
      <rPr>
        <vertAlign val="superscript"/>
        <sz val="18"/>
        <rFont val="Arial"/>
        <family val="2"/>
      </rPr>
      <t xml:space="preserve"> </t>
    </r>
  </si>
  <si>
    <r>
      <t>North Fork Dam, Recycled Downstream</t>
    </r>
    <r>
      <rPr>
        <vertAlign val="superscript"/>
        <sz val="18"/>
        <rFont val="Arial"/>
        <family val="2"/>
      </rPr>
      <t xml:space="preserve"> </t>
    </r>
  </si>
  <si>
    <t>Age comp adjusted using actual number of jacks counted at hatchery.</t>
  </si>
  <si>
    <t>Age comp adjusted using actual number of jacks counted at the dam.</t>
  </si>
  <si>
    <r>
      <t xml:space="preserve">North Fork Dam, Passed Upstream </t>
    </r>
    <r>
      <rPr>
        <vertAlign val="superscript"/>
        <sz val="18"/>
        <rFont val="Arial"/>
        <family val="2"/>
      </rPr>
      <t>7</t>
    </r>
  </si>
  <si>
    <r>
      <t>North Fork Dam, Recycled Downstream</t>
    </r>
    <r>
      <rPr>
        <vertAlign val="superscript"/>
        <sz val="18"/>
        <rFont val="Arial"/>
        <family val="2"/>
      </rPr>
      <t xml:space="preserve"> 7</t>
    </r>
  </si>
  <si>
    <r>
      <t xml:space="preserve">Natural Spawn Bel. N.F. Dam </t>
    </r>
    <r>
      <rPr>
        <vertAlign val="superscript"/>
        <sz val="18"/>
        <rFont val="Arial"/>
        <family val="2"/>
      </rPr>
      <t>7</t>
    </r>
  </si>
  <si>
    <t xml:space="preserve">per Bryan Wright </t>
  </si>
  <si>
    <r>
      <t>Eagle Creek Hatchery Return</t>
    </r>
    <r>
      <rPr>
        <vertAlign val="superscript"/>
        <sz val="18"/>
        <rFont val="Arial"/>
        <family val="2"/>
      </rPr>
      <t>6</t>
    </r>
  </si>
  <si>
    <r>
      <t xml:space="preserve">L. Will. Sport Fishery (kept catch) </t>
    </r>
    <r>
      <rPr>
        <vertAlign val="superscript"/>
        <sz val="18"/>
        <rFont val="Arial"/>
        <family val="2"/>
      </rPr>
      <t>5</t>
    </r>
  </si>
  <si>
    <r>
      <t xml:space="preserve">Lower Clackamas Sport (kept catch) </t>
    </r>
    <r>
      <rPr>
        <vertAlign val="superscript"/>
        <sz val="18"/>
        <rFont val="Arial"/>
        <family val="2"/>
      </rPr>
      <t>6</t>
    </r>
  </si>
  <si>
    <r>
      <t xml:space="preserve">Grand Ronde Will. Falls platform kept catch </t>
    </r>
    <r>
      <rPr>
        <vertAlign val="superscript"/>
        <sz val="18"/>
        <color theme="1"/>
        <rFont val="Arial"/>
        <family val="2"/>
      </rPr>
      <t>5</t>
    </r>
  </si>
  <si>
    <r>
      <t xml:space="preserve">L. Will. Sport (rel. mortality) </t>
    </r>
    <r>
      <rPr>
        <vertAlign val="superscript"/>
        <sz val="18"/>
        <rFont val="Arial"/>
        <family val="2"/>
      </rPr>
      <t>1,5</t>
    </r>
  </si>
  <si>
    <r>
      <t xml:space="preserve">Lower Clackamas Sport (rel. mortality) </t>
    </r>
    <r>
      <rPr>
        <vertAlign val="superscript"/>
        <sz val="18"/>
        <rFont val="Arial"/>
        <family val="2"/>
      </rPr>
      <t>1,6</t>
    </r>
  </si>
  <si>
    <t>Grand Ronde Will. Falls platform kept catch</t>
  </si>
  <si>
    <t>Age comp adjusted using actual number of jacks counted at the falls.</t>
  </si>
  <si>
    <r>
      <t xml:space="preserve">Mortality Below Falls </t>
    </r>
    <r>
      <rPr>
        <vertAlign val="superscript"/>
        <sz val="18"/>
        <rFont val="Arial"/>
        <family val="2"/>
      </rPr>
      <t>2,5</t>
    </r>
  </si>
  <si>
    <r>
      <t xml:space="preserve">Clackamas Hatchery swim-ins </t>
    </r>
    <r>
      <rPr>
        <vertAlign val="superscript"/>
        <sz val="18"/>
        <rFont val="Arial"/>
        <family val="2"/>
      </rPr>
      <t>6</t>
    </r>
  </si>
  <si>
    <r>
      <t xml:space="preserve">7 </t>
    </r>
    <r>
      <rPr>
        <sz val="18"/>
        <rFont val="Arial"/>
        <family val="2"/>
      </rPr>
      <t xml:space="preserve"> Age composition based on scale analysis of combined Clackamas Hatchery returns to the Clackamas Hatchery, Eagle Creek Hatchery, and transfers from N.F. Dam. </t>
    </r>
  </si>
  <si>
    <t>L. Will. Sport Fishery (kept catch)</t>
  </si>
  <si>
    <t>L. Will. Sport Fishery (release mortality)</t>
  </si>
  <si>
    <t>Grand Ronde Will. Falls platform (kept catch)</t>
  </si>
  <si>
    <t>MK</t>
  </si>
  <si>
    <t>No MK</t>
  </si>
  <si>
    <t>% MK</t>
  </si>
  <si>
    <t>Clack clip rate w/out natural spawn</t>
  </si>
  <si>
    <t>Clackamas hatchery (harvest) and wild (rel. mortality) in the Willamette R.</t>
  </si>
  <si>
    <t>Estimated harvest of Clackamas fish in the lower Willamette River recreational fishery.</t>
  </si>
  <si>
    <t>Estimated release mortality of Clackamas fish in the lower Willamette River recreational fishery.</t>
  </si>
  <si>
    <t>Estimate of the total Clackamas origin escapement to the mouth of the Willamette River</t>
  </si>
  <si>
    <t>unclipped rate</t>
  </si>
  <si>
    <t>mean (5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</si>
</sst>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000"/>
    <numFmt numFmtId="166" formatCode="###0"/>
    <numFmt numFmtId="167" formatCode="0.000"/>
    <numFmt numFmtId="168" formatCode="#,##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indexed="10"/>
      <name val="Arial"/>
      <family val="2"/>
    </font>
    <font>
      <vertAlign val="superscript"/>
      <sz val="18"/>
      <name val="Arial"/>
      <family val="2"/>
    </font>
    <font>
      <b/>
      <sz val="18"/>
      <color indexed="44"/>
      <name val="Arial"/>
      <family val="2"/>
    </font>
    <font>
      <sz val="9"/>
      <color indexed="81"/>
      <name val="Tahoma"/>
      <family val="2"/>
    </font>
    <font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indexed="44"/>
      <name val="Arial"/>
      <family val="2"/>
    </font>
    <font>
      <b/>
      <i/>
      <sz val="18"/>
      <name val="Arial"/>
      <family val="2"/>
    </font>
    <font>
      <u/>
      <sz val="18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18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 applyFill="1" applyAlignment="1"/>
    <xf numFmtId="0" fontId="4" fillId="0" borderId="0" xfId="0" applyFont="1" applyFill="1" applyAlignment="1"/>
    <xf numFmtId="14" fontId="4" fillId="0" borderId="0" xfId="0" applyNumberFormat="1" applyFont="1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68" fontId="4" fillId="0" borderId="0" xfId="0" applyNumberFormat="1" applyFont="1"/>
    <xf numFmtId="3" fontId="4" fillId="0" borderId="0" xfId="0" applyNumberFormat="1" applyFont="1" applyFill="1"/>
    <xf numFmtId="3" fontId="5" fillId="0" borderId="0" xfId="0" applyNumberFormat="1" applyFont="1" applyFill="1"/>
    <xf numFmtId="3" fontId="5" fillId="0" borderId="0" xfId="0" applyNumberFormat="1" applyFont="1" applyFill="1" applyBorder="1"/>
    <xf numFmtId="168" fontId="4" fillId="0" borderId="0" xfId="0" applyNumberFormat="1" applyFont="1" applyFill="1"/>
    <xf numFmtId="4" fontId="4" fillId="0" borderId="0" xfId="0" applyNumberFormat="1" applyFont="1" applyFill="1"/>
    <xf numFmtId="3" fontId="6" fillId="0" borderId="0" xfId="0" applyNumberFormat="1" applyFont="1" applyFill="1"/>
    <xf numFmtId="0" fontId="4" fillId="0" borderId="2" xfId="0" applyFont="1" applyFill="1" applyBorder="1"/>
    <xf numFmtId="3" fontId="5" fillId="0" borderId="2" xfId="0" applyNumberFormat="1" applyFont="1" applyFill="1" applyBorder="1"/>
    <xf numFmtId="0" fontId="5" fillId="0" borderId="3" xfId="0" applyFont="1" applyFill="1" applyBorder="1"/>
    <xf numFmtId="3" fontId="5" fillId="0" borderId="3" xfId="0" applyNumberFormat="1" applyFont="1" applyFill="1" applyBorder="1"/>
    <xf numFmtId="3" fontId="4" fillId="0" borderId="0" xfId="0" applyNumberFormat="1" applyFont="1"/>
    <xf numFmtId="0" fontId="4" fillId="0" borderId="0" xfId="0" applyNumberFormat="1" applyFont="1" applyFill="1" applyBorder="1" applyAlignment="1" applyProtection="1"/>
    <xf numFmtId="0" fontId="5" fillId="0" borderId="2" xfId="0" applyFont="1" applyFill="1" applyBorder="1"/>
    <xf numFmtId="3" fontId="4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/>
    <xf numFmtId="0" fontId="8" fillId="0" borderId="0" xfId="0" applyFont="1"/>
    <xf numFmtId="0" fontId="4" fillId="0" borderId="0" xfId="0" quotePrefix="1" applyFont="1" applyFill="1" applyBorder="1" applyAlignment="1">
      <alignment horizontal="center"/>
    </xf>
    <xf numFmtId="164" fontId="4" fillId="0" borderId="0" xfId="0" applyNumberFormat="1" applyFont="1" applyFill="1"/>
    <xf numFmtId="0" fontId="5" fillId="0" borderId="0" xfId="0" applyNumberFormat="1" applyFont="1" applyFill="1" applyBorder="1" applyAlignment="1" applyProtection="1"/>
    <xf numFmtId="10" fontId="4" fillId="0" borderId="0" xfId="0" applyNumberFormat="1" applyFont="1" applyFill="1"/>
    <xf numFmtId="168" fontId="4" fillId="0" borderId="0" xfId="0" applyNumberFormat="1" applyFont="1" applyFill="1" applyBorder="1"/>
    <xf numFmtId="10" fontId="4" fillId="0" borderId="0" xfId="0" applyNumberFormat="1" applyFont="1"/>
    <xf numFmtId="10" fontId="4" fillId="0" borderId="0" xfId="0" applyNumberFormat="1" applyFont="1" applyBorder="1"/>
    <xf numFmtId="0" fontId="7" fillId="0" borderId="0" xfId="0" applyFont="1" applyFill="1"/>
    <xf numFmtId="14" fontId="4" fillId="0" borderId="0" xfId="0" quotePrefix="1" applyNumberFormat="1" applyFont="1" applyFill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0" fontId="4" fillId="0" borderId="0" xfId="0" applyFont="1" applyBorder="1" applyAlignment="1"/>
    <xf numFmtId="167" fontId="4" fillId="0" borderId="0" xfId="0" applyNumberFormat="1" applyFont="1" applyBorder="1"/>
    <xf numFmtId="0" fontId="4" fillId="0" borderId="0" xfId="0" applyNumberFormat="1" applyFont="1" applyBorder="1"/>
    <xf numFmtId="10" fontId="4" fillId="0" borderId="0" xfId="0" applyNumberFormat="1" applyFont="1" applyFill="1" applyAlignment="1">
      <alignment horizontal="right"/>
    </xf>
    <xf numFmtId="10" fontId="4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4" fillId="0" borderId="0" xfId="0" applyFont="1" applyBorder="1" applyAlignment="1">
      <alignment horizontal="center"/>
    </xf>
    <xf numFmtId="10" fontId="10" fillId="0" borderId="0" xfId="0" applyNumberFormat="1" applyFont="1" applyBorder="1"/>
    <xf numFmtId="0" fontId="13" fillId="0" borderId="0" xfId="0" applyFont="1"/>
    <xf numFmtId="0" fontId="4" fillId="2" borderId="0" xfId="0" applyFont="1" applyFill="1" applyAlignment="1">
      <alignment horizontal="center"/>
    </xf>
    <xf numFmtId="3" fontId="4" fillId="0" borderId="0" xfId="0" quotePrefix="1" applyNumberFormat="1" applyFont="1" applyFill="1" applyBorder="1" applyAlignment="1">
      <alignment horizontal="center"/>
    </xf>
    <xf numFmtId="3" fontId="14" fillId="0" borderId="0" xfId="3" applyNumberFormat="1" applyFont="1" applyFill="1" applyBorder="1"/>
    <xf numFmtId="168" fontId="4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" fontId="4" fillId="0" borderId="0" xfId="0" applyNumberFormat="1" applyFont="1" applyFill="1"/>
    <xf numFmtId="3" fontId="15" fillId="0" borderId="0" xfId="0" quotePrefix="1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/>
    <xf numFmtId="0" fontId="16" fillId="0" borderId="0" xfId="0" applyFont="1"/>
    <xf numFmtId="0" fontId="5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3" fontId="5" fillId="0" borderId="0" xfId="0" applyNumberFormat="1" applyFont="1"/>
    <xf numFmtId="10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0" fontId="4" fillId="3" borderId="0" xfId="2" applyNumberFormat="1" applyFont="1" applyFill="1" applyAlignment="1">
      <alignment horizontal="right"/>
    </xf>
    <xf numFmtId="0" fontId="4" fillId="3" borderId="0" xfId="0" applyFont="1" applyFill="1"/>
    <xf numFmtId="10" fontId="4" fillId="0" borderId="0" xfId="2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0" fontId="4" fillId="3" borderId="0" xfId="0" applyNumberFormat="1" applyFont="1" applyFill="1"/>
    <xf numFmtId="0" fontId="5" fillId="0" borderId="0" xfId="0" applyFont="1" applyFill="1" applyBorder="1"/>
    <xf numFmtId="10" fontId="4" fillId="0" borderId="0" xfId="0" applyNumberFormat="1" applyFont="1" applyFill="1" applyBorder="1"/>
    <xf numFmtId="0" fontId="7" fillId="0" borderId="0" xfId="0" applyFont="1" applyFill="1" applyBorder="1"/>
    <xf numFmtId="3" fontId="10" fillId="0" borderId="0" xfId="1" applyNumberFormat="1" applyFont="1"/>
    <xf numFmtId="1" fontId="4" fillId="0" borderId="0" xfId="0" applyNumberFormat="1" applyFont="1" applyFill="1" applyBorder="1"/>
    <xf numFmtId="10" fontId="10" fillId="0" borderId="0" xfId="2" applyNumberFormat="1" applyFont="1" applyFill="1" applyBorder="1" applyAlignment="1">
      <alignment horizontal="center"/>
    </xf>
    <xf numFmtId="9" fontId="5" fillId="0" borderId="0" xfId="2" applyFont="1" applyFill="1" applyBorder="1"/>
    <xf numFmtId="10" fontId="10" fillId="0" borderId="0" xfId="2" applyNumberFormat="1" applyFont="1" applyFill="1" applyBorder="1"/>
    <xf numFmtId="164" fontId="4" fillId="0" borderId="0" xfId="0" applyNumberFormat="1" applyFont="1" applyFill="1" applyBorder="1"/>
    <xf numFmtId="168" fontId="2" fillId="0" borderId="0" xfId="0" applyNumberFormat="1" applyFont="1" applyFill="1" applyBorder="1"/>
    <xf numFmtId="10" fontId="10" fillId="0" borderId="0" xfId="2" applyNumberFormat="1" applyFont="1" applyFill="1"/>
    <xf numFmtId="10" fontId="4" fillId="0" borderId="0" xfId="2" applyNumberFormat="1" applyFont="1" applyFill="1"/>
    <xf numFmtId="3" fontId="4" fillId="3" borderId="0" xfId="0" applyNumberFormat="1" applyFont="1" applyFill="1"/>
    <xf numFmtId="0" fontId="4" fillId="3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10" fontId="4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elly.Dirksen@grandronde.org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S121"/>
  <sheetViews>
    <sheetView zoomScale="50" zoomScaleNormal="50" workbookViewId="0">
      <selection activeCell="H45" sqref="H45"/>
    </sheetView>
  </sheetViews>
  <sheetFormatPr defaultColWidth="11.33203125" defaultRowHeight="22.8" x14ac:dyDescent="0.4"/>
  <cols>
    <col min="1" max="1" width="67" style="7" bestFit="1" customWidth="1"/>
    <col min="2" max="2" width="11.33203125" style="7"/>
    <col min="3" max="3" width="30.109375" style="7" customWidth="1"/>
    <col min="4" max="7" width="13.88671875" style="7" bestFit="1" customWidth="1"/>
    <col min="8" max="8" width="16.109375" style="7" bestFit="1" customWidth="1"/>
    <col min="9" max="9" width="12.6640625" style="7" bestFit="1" customWidth="1"/>
    <col min="10" max="10" width="15.6640625" style="7" bestFit="1" customWidth="1"/>
    <col min="11" max="11" width="39.109375" style="4" customWidth="1"/>
    <col min="12" max="12" width="12.6640625" style="4" customWidth="1"/>
    <col min="13" max="13" width="11" style="4" customWidth="1"/>
    <col min="14" max="18" width="11.33203125" style="4"/>
    <col min="19" max="19" width="11.33203125" style="8"/>
    <col min="20" max="258" width="11.33203125" style="7"/>
    <col min="259" max="259" width="49.109375" style="7" customWidth="1"/>
    <col min="260" max="260" width="11.33203125" style="7" customWidth="1"/>
    <col min="261" max="262" width="11.6640625" style="7" customWidth="1"/>
    <col min="263" max="263" width="12.5546875" style="7" customWidth="1"/>
    <col min="264" max="264" width="11.6640625" style="7" bestFit="1" customWidth="1"/>
    <col min="265" max="266" width="15.6640625" style="7" bestFit="1" customWidth="1"/>
    <col min="267" max="267" width="39.109375" style="7" customWidth="1"/>
    <col min="268" max="268" width="12.6640625" style="7" customWidth="1"/>
    <col min="269" max="269" width="11" style="7" customWidth="1"/>
    <col min="270" max="514" width="11.33203125" style="7"/>
    <col min="515" max="515" width="49.109375" style="7" customWidth="1"/>
    <col min="516" max="516" width="11.33203125" style="7" customWidth="1"/>
    <col min="517" max="518" width="11.6640625" style="7" customWidth="1"/>
    <col min="519" max="519" width="12.5546875" style="7" customWidth="1"/>
    <col min="520" max="520" width="11.6640625" style="7" bestFit="1" customWidth="1"/>
    <col min="521" max="522" width="15.6640625" style="7" bestFit="1" customWidth="1"/>
    <col min="523" max="523" width="39.109375" style="7" customWidth="1"/>
    <col min="524" max="524" width="12.6640625" style="7" customWidth="1"/>
    <col min="525" max="525" width="11" style="7" customWidth="1"/>
    <col min="526" max="770" width="11.33203125" style="7"/>
    <col min="771" max="771" width="49.109375" style="7" customWidth="1"/>
    <col min="772" max="772" width="11.33203125" style="7" customWidth="1"/>
    <col min="773" max="774" width="11.6640625" style="7" customWidth="1"/>
    <col min="775" max="775" width="12.5546875" style="7" customWidth="1"/>
    <col min="776" max="776" width="11.6640625" style="7" bestFit="1" customWidth="1"/>
    <col min="777" max="778" width="15.6640625" style="7" bestFit="1" customWidth="1"/>
    <col min="779" max="779" width="39.109375" style="7" customWidth="1"/>
    <col min="780" max="780" width="12.6640625" style="7" customWidth="1"/>
    <col min="781" max="781" width="11" style="7" customWidth="1"/>
    <col min="782" max="1026" width="11.33203125" style="7"/>
    <col min="1027" max="1027" width="49.109375" style="7" customWidth="1"/>
    <col min="1028" max="1028" width="11.33203125" style="7" customWidth="1"/>
    <col min="1029" max="1030" width="11.6640625" style="7" customWidth="1"/>
    <col min="1031" max="1031" width="12.5546875" style="7" customWidth="1"/>
    <col min="1032" max="1032" width="11.6640625" style="7" bestFit="1" customWidth="1"/>
    <col min="1033" max="1034" width="15.6640625" style="7" bestFit="1" customWidth="1"/>
    <col min="1035" max="1035" width="39.109375" style="7" customWidth="1"/>
    <col min="1036" max="1036" width="12.6640625" style="7" customWidth="1"/>
    <col min="1037" max="1037" width="11" style="7" customWidth="1"/>
    <col min="1038" max="1282" width="11.33203125" style="7"/>
    <col min="1283" max="1283" width="49.109375" style="7" customWidth="1"/>
    <col min="1284" max="1284" width="11.33203125" style="7" customWidth="1"/>
    <col min="1285" max="1286" width="11.6640625" style="7" customWidth="1"/>
    <col min="1287" max="1287" width="12.5546875" style="7" customWidth="1"/>
    <col min="1288" max="1288" width="11.6640625" style="7" bestFit="1" customWidth="1"/>
    <col min="1289" max="1290" width="15.6640625" style="7" bestFit="1" customWidth="1"/>
    <col min="1291" max="1291" width="39.109375" style="7" customWidth="1"/>
    <col min="1292" max="1292" width="12.6640625" style="7" customWidth="1"/>
    <col min="1293" max="1293" width="11" style="7" customWidth="1"/>
    <col min="1294" max="1538" width="11.33203125" style="7"/>
    <col min="1539" max="1539" width="49.109375" style="7" customWidth="1"/>
    <col min="1540" max="1540" width="11.33203125" style="7" customWidth="1"/>
    <col min="1541" max="1542" width="11.6640625" style="7" customWidth="1"/>
    <col min="1543" max="1543" width="12.5546875" style="7" customWidth="1"/>
    <col min="1544" max="1544" width="11.6640625" style="7" bestFit="1" customWidth="1"/>
    <col min="1545" max="1546" width="15.6640625" style="7" bestFit="1" customWidth="1"/>
    <col min="1547" max="1547" width="39.109375" style="7" customWidth="1"/>
    <col min="1548" max="1548" width="12.6640625" style="7" customWidth="1"/>
    <col min="1549" max="1549" width="11" style="7" customWidth="1"/>
    <col min="1550" max="1794" width="11.33203125" style="7"/>
    <col min="1795" max="1795" width="49.109375" style="7" customWidth="1"/>
    <col min="1796" max="1796" width="11.33203125" style="7" customWidth="1"/>
    <col min="1797" max="1798" width="11.6640625" style="7" customWidth="1"/>
    <col min="1799" max="1799" width="12.5546875" style="7" customWidth="1"/>
    <col min="1800" max="1800" width="11.6640625" style="7" bestFit="1" customWidth="1"/>
    <col min="1801" max="1802" width="15.6640625" style="7" bestFit="1" customWidth="1"/>
    <col min="1803" max="1803" width="39.109375" style="7" customWidth="1"/>
    <col min="1804" max="1804" width="12.6640625" style="7" customWidth="1"/>
    <col min="1805" max="1805" width="11" style="7" customWidth="1"/>
    <col min="1806" max="2050" width="11.33203125" style="7"/>
    <col min="2051" max="2051" width="49.109375" style="7" customWidth="1"/>
    <col min="2052" max="2052" width="11.33203125" style="7" customWidth="1"/>
    <col min="2053" max="2054" width="11.6640625" style="7" customWidth="1"/>
    <col min="2055" max="2055" width="12.5546875" style="7" customWidth="1"/>
    <col min="2056" max="2056" width="11.6640625" style="7" bestFit="1" customWidth="1"/>
    <col min="2057" max="2058" width="15.6640625" style="7" bestFit="1" customWidth="1"/>
    <col min="2059" max="2059" width="39.109375" style="7" customWidth="1"/>
    <col min="2060" max="2060" width="12.6640625" style="7" customWidth="1"/>
    <col min="2061" max="2061" width="11" style="7" customWidth="1"/>
    <col min="2062" max="2306" width="11.33203125" style="7"/>
    <col min="2307" max="2307" width="49.109375" style="7" customWidth="1"/>
    <col min="2308" max="2308" width="11.33203125" style="7" customWidth="1"/>
    <col min="2309" max="2310" width="11.6640625" style="7" customWidth="1"/>
    <col min="2311" max="2311" width="12.5546875" style="7" customWidth="1"/>
    <col min="2312" max="2312" width="11.6640625" style="7" bestFit="1" customWidth="1"/>
    <col min="2313" max="2314" width="15.6640625" style="7" bestFit="1" customWidth="1"/>
    <col min="2315" max="2315" width="39.109375" style="7" customWidth="1"/>
    <col min="2316" max="2316" width="12.6640625" style="7" customWidth="1"/>
    <col min="2317" max="2317" width="11" style="7" customWidth="1"/>
    <col min="2318" max="2562" width="11.33203125" style="7"/>
    <col min="2563" max="2563" width="49.109375" style="7" customWidth="1"/>
    <col min="2564" max="2564" width="11.33203125" style="7" customWidth="1"/>
    <col min="2565" max="2566" width="11.6640625" style="7" customWidth="1"/>
    <col min="2567" max="2567" width="12.5546875" style="7" customWidth="1"/>
    <col min="2568" max="2568" width="11.6640625" style="7" bestFit="1" customWidth="1"/>
    <col min="2569" max="2570" width="15.6640625" style="7" bestFit="1" customWidth="1"/>
    <col min="2571" max="2571" width="39.109375" style="7" customWidth="1"/>
    <col min="2572" max="2572" width="12.6640625" style="7" customWidth="1"/>
    <col min="2573" max="2573" width="11" style="7" customWidth="1"/>
    <col min="2574" max="2818" width="11.33203125" style="7"/>
    <col min="2819" max="2819" width="49.109375" style="7" customWidth="1"/>
    <col min="2820" max="2820" width="11.33203125" style="7" customWidth="1"/>
    <col min="2821" max="2822" width="11.6640625" style="7" customWidth="1"/>
    <col min="2823" max="2823" width="12.5546875" style="7" customWidth="1"/>
    <col min="2824" max="2824" width="11.6640625" style="7" bestFit="1" customWidth="1"/>
    <col min="2825" max="2826" width="15.6640625" style="7" bestFit="1" customWidth="1"/>
    <col min="2827" max="2827" width="39.109375" style="7" customWidth="1"/>
    <col min="2828" max="2828" width="12.6640625" style="7" customWidth="1"/>
    <col min="2829" max="2829" width="11" style="7" customWidth="1"/>
    <col min="2830" max="3074" width="11.33203125" style="7"/>
    <col min="3075" max="3075" width="49.109375" style="7" customWidth="1"/>
    <col min="3076" max="3076" width="11.33203125" style="7" customWidth="1"/>
    <col min="3077" max="3078" width="11.6640625" style="7" customWidth="1"/>
    <col min="3079" max="3079" width="12.5546875" style="7" customWidth="1"/>
    <col min="3080" max="3080" width="11.6640625" style="7" bestFit="1" customWidth="1"/>
    <col min="3081" max="3082" width="15.6640625" style="7" bestFit="1" customWidth="1"/>
    <col min="3083" max="3083" width="39.109375" style="7" customWidth="1"/>
    <col min="3084" max="3084" width="12.6640625" style="7" customWidth="1"/>
    <col min="3085" max="3085" width="11" style="7" customWidth="1"/>
    <col min="3086" max="3330" width="11.33203125" style="7"/>
    <col min="3331" max="3331" width="49.109375" style="7" customWidth="1"/>
    <col min="3332" max="3332" width="11.33203125" style="7" customWidth="1"/>
    <col min="3333" max="3334" width="11.6640625" style="7" customWidth="1"/>
    <col min="3335" max="3335" width="12.5546875" style="7" customWidth="1"/>
    <col min="3336" max="3336" width="11.6640625" style="7" bestFit="1" customWidth="1"/>
    <col min="3337" max="3338" width="15.6640625" style="7" bestFit="1" customWidth="1"/>
    <col min="3339" max="3339" width="39.109375" style="7" customWidth="1"/>
    <col min="3340" max="3340" width="12.6640625" style="7" customWidth="1"/>
    <col min="3341" max="3341" width="11" style="7" customWidth="1"/>
    <col min="3342" max="3586" width="11.33203125" style="7"/>
    <col min="3587" max="3587" width="49.109375" style="7" customWidth="1"/>
    <col min="3588" max="3588" width="11.33203125" style="7" customWidth="1"/>
    <col min="3589" max="3590" width="11.6640625" style="7" customWidth="1"/>
    <col min="3591" max="3591" width="12.5546875" style="7" customWidth="1"/>
    <col min="3592" max="3592" width="11.6640625" style="7" bestFit="1" customWidth="1"/>
    <col min="3593" max="3594" width="15.6640625" style="7" bestFit="1" customWidth="1"/>
    <col min="3595" max="3595" width="39.109375" style="7" customWidth="1"/>
    <col min="3596" max="3596" width="12.6640625" style="7" customWidth="1"/>
    <col min="3597" max="3597" width="11" style="7" customWidth="1"/>
    <col min="3598" max="3842" width="11.33203125" style="7"/>
    <col min="3843" max="3843" width="49.109375" style="7" customWidth="1"/>
    <col min="3844" max="3844" width="11.33203125" style="7" customWidth="1"/>
    <col min="3845" max="3846" width="11.6640625" style="7" customWidth="1"/>
    <col min="3847" max="3847" width="12.5546875" style="7" customWidth="1"/>
    <col min="3848" max="3848" width="11.6640625" style="7" bestFit="1" customWidth="1"/>
    <col min="3849" max="3850" width="15.6640625" style="7" bestFit="1" customWidth="1"/>
    <col min="3851" max="3851" width="39.109375" style="7" customWidth="1"/>
    <col min="3852" max="3852" width="12.6640625" style="7" customWidth="1"/>
    <col min="3853" max="3853" width="11" style="7" customWidth="1"/>
    <col min="3854" max="4098" width="11.33203125" style="7"/>
    <col min="4099" max="4099" width="49.109375" style="7" customWidth="1"/>
    <col min="4100" max="4100" width="11.33203125" style="7" customWidth="1"/>
    <col min="4101" max="4102" width="11.6640625" style="7" customWidth="1"/>
    <col min="4103" max="4103" width="12.5546875" style="7" customWidth="1"/>
    <col min="4104" max="4104" width="11.6640625" style="7" bestFit="1" customWidth="1"/>
    <col min="4105" max="4106" width="15.6640625" style="7" bestFit="1" customWidth="1"/>
    <col min="4107" max="4107" width="39.109375" style="7" customWidth="1"/>
    <col min="4108" max="4108" width="12.6640625" style="7" customWidth="1"/>
    <col min="4109" max="4109" width="11" style="7" customWidth="1"/>
    <col min="4110" max="4354" width="11.33203125" style="7"/>
    <col min="4355" max="4355" width="49.109375" style="7" customWidth="1"/>
    <col min="4356" max="4356" width="11.33203125" style="7" customWidth="1"/>
    <col min="4357" max="4358" width="11.6640625" style="7" customWidth="1"/>
    <col min="4359" max="4359" width="12.5546875" style="7" customWidth="1"/>
    <col min="4360" max="4360" width="11.6640625" style="7" bestFit="1" customWidth="1"/>
    <col min="4361" max="4362" width="15.6640625" style="7" bestFit="1" customWidth="1"/>
    <col min="4363" max="4363" width="39.109375" style="7" customWidth="1"/>
    <col min="4364" max="4364" width="12.6640625" style="7" customWidth="1"/>
    <col min="4365" max="4365" width="11" style="7" customWidth="1"/>
    <col min="4366" max="4610" width="11.33203125" style="7"/>
    <col min="4611" max="4611" width="49.109375" style="7" customWidth="1"/>
    <col min="4612" max="4612" width="11.33203125" style="7" customWidth="1"/>
    <col min="4613" max="4614" width="11.6640625" style="7" customWidth="1"/>
    <col min="4615" max="4615" width="12.5546875" style="7" customWidth="1"/>
    <col min="4616" max="4616" width="11.6640625" style="7" bestFit="1" customWidth="1"/>
    <col min="4617" max="4618" width="15.6640625" style="7" bestFit="1" customWidth="1"/>
    <col min="4619" max="4619" width="39.109375" style="7" customWidth="1"/>
    <col min="4620" max="4620" width="12.6640625" style="7" customWidth="1"/>
    <col min="4621" max="4621" width="11" style="7" customWidth="1"/>
    <col min="4622" max="4866" width="11.33203125" style="7"/>
    <col min="4867" max="4867" width="49.109375" style="7" customWidth="1"/>
    <col min="4868" max="4868" width="11.33203125" style="7" customWidth="1"/>
    <col min="4869" max="4870" width="11.6640625" style="7" customWidth="1"/>
    <col min="4871" max="4871" width="12.5546875" style="7" customWidth="1"/>
    <col min="4872" max="4872" width="11.6640625" style="7" bestFit="1" customWidth="1"/>
    <col min="4873" max="4874" width="15.6640625" style="7" bestFit="1" customWidth="1"/>
    <col min="4875" max="4875" width="39.109375" style="7" customWidth="1"/>
    <col min="4876" max="4876" width="12.6640625" style="7" customWidth="1"/>
    <col min="4877" max="4877" width="11" style="7" customWidth="1"/>
    <col min="4878" max="5122" width="11.33203125" style="7"/>
    <col min="5123" max="5123" width="49.109375" style="7" customWidth="1"/>
    <col min="5124" max="5124" width="11.33203125" style="7" customWidth="1"/>
    <col min="5125" max="5126" width="11.6640625" style="7" customWidth="1"/>
    <col min="5127" max="5127" width="12.5546875" style="7" customWidth="1"/>
    <col min="5128" max="5128" width="11.6640625" style="7" bestFit="1" customWidth="1"/>
    <col min="5129" max="5130" width="15.6640625" style="7" bestFit="1" customWidth="1"/>
    <col min="5131" max="5131" width="39.109375" style="7" customWidth="1"/>
    <col min="5132" max="5132" width="12.6640625" style="7" customWidth="1"/>
    <col min="5133" max="5133" width="11" style="7" customWidth="1"/>
    <col min="5134" max="5378" width="11.33203125" style="7"/>
    <col min="5379" max="5379" width="49.109375" style="7" customWidth="1"/>
    <col min="5380" max="5380" width="11.33203125" style="7" customWidth="1"/>
    <col min="5381" max="5382" width="11.6640625" style="7" customWidth="1"/>
    <col min="5383" max="5383" width="12.5546875" style="7" customWidth="1"/>
    <col min="5384" max="5384" width="11.6640625" style="7" bestFit="1" customWidth="1"/>
    <col min="5385" max="5386" width="15.6640625" style="7" bestFit="1" customWidth="1"/>
    <col min="5387" max="5387" width="39.109375" style="7" customWidth="1"/>
    <col min="5388" max="5388" width="12.6640625" style="7" customWidth="1"/>
    <col min="5389" max="5389" width="11" style="7" customWidth="1"/>
    <col min="5390" max="5634" width="11.33203125" style="7"/>
    <col min="5635" max="5635" width="49.109375" style="7" customWidth="1"/>
    <col min="5636" max="5636" width="11.33203125" style="7" customWidth="1"/>
    <col min="5637" max="5638" width="11.6640625" style="7" customWidth="1"/>
    <col min="5639" max="5639" width="12.5546875" style="7" customWidth="1"/>
    <col min="5640" max="5640" width="11.6640625" style="7" bestFit="1" customWidth="1"/>
    <col min="5641" max="5642" width="15.6640625" style="7" bestFit="1" customWidth="1"/>
    <col min="5643" max="5643" width="39.109375" style="7" customWidth="1"/>
    <col min="5644" max="5644" width="12.6640625" style="7" customWidth="1"/>
    <col min="5645" max="5645" width="11" style="7" customWidth="1"/>
    <col min="5646" max="5890" width="11.33203125" style="7"/>
    <col min="5891" max="5891" width="49.109375" style="7" customWidth="1"/>
    <col min="5892" max="5892" width="11.33203125" style="7" customWidth="1"/>
    <col min="5893" max="5894" width="11.6640625" style="7" customWidth="1"/>
    <col min="5895" max="5895" width="12.5546875" style="7" customWidth="1"/>
    <col min="5896" max="5896" width="11.6640625" style="7" bestFit="1" customWidth="1"/>
    <col min="5897" max="5898" width="15.6640625" style="7" bestFit="1" customWidth="1"/>
    <col min="5899" max="5899" width="39.109375" style="7" customWidth="1"/>
    <col min="5900" max="5900" width="12.6640625" style="7" customWidth="1"/>
    <col min="5901" max="5901" width="11" style="7" customWidth="1"/>
    <col min="5902" max="6146" width="11.33203125" style="7"/>
    <col min="6147" max="6147" width="49.109375" style="7" customWidth="1"/>
    <col min="6148" max="6148" width="11.33203125" style="7" customWidth="1"/>
    <col min="6149" max="6150" width="11.6640625" style="7" customWidth="1"/>
    <col min="6151" max="6151" width="12.5546875" style="7" customWidth="1"/>
    <col min="6152" max="6152" width="11.6640625" style="7" bestFit="1" customWidth="1"/>
    <col min="6153" max="6154" width="15.6640625" style="7" bestFit="1" customWidth="1"/>
    <col min="6155" max="6155" width="39.109375" style="7" customWidth="1"/>
    <col min="6156" max="6156" width="12.6640625" style="7" customWidth="1"/>
    <col min="6157" max="6157" width="11" style="7" customWidth="1"/>
    <col min="6158" max="6402" width="11.33203125" style="7"/>
    <col min="6403" max="6403" width="49.109375" style="7" customWidth="1"/>
    <col min="6404" max="6404" width="11.33203125" style="7" customWidth="1"/>
    <col min="6405" max="6406" width="11.6640625" style="7" customWidth="1"/>
    <col min="6407" max="6407" width="12.5546875" style="7" customWidth="1"/>
    <col min="6408" max="6408" width="11.6640625" style="7" bestFit="1" customWidth="1"/>
    <col min="6409" max="6410" width="15.6640625" style="7" bestFit="1" customWidth="1"/>
    <col min="6411" max="6411" width="39.109375" style="7" customWidth="1"/>
    <col min="6412" max="6412" width="12.6640625" style="7" customWidth="1"/>
    <col min="6413" max="6413" width="11" style="7" customWidth="1"/>
    <col min="6414" max="6658" width="11.33203125" style="7"/>
    <col min="6659" max="6659" width="49.109375" style="7" customWidth="1"/>
    <col min="6660" max="6660" width="11.33203125" style="7" customWidth="1"/>
    <col min="6661" max="6662" width="11.6640625" style="7" customWidth="1"/>
    <col min="6663" max="6663" width="12.5546875" style="7" customWidth="1"/>
    <col min="6664" max="6664" width="11.6640625" style="7" bestFit="1" customWidth="1"/>
    <col min="6665" max="6666" width="15.6640625" style="7" bestFit="1" customWidth="1"/>
    <col min="6667" max="6667" width="39.109375" style="7" customWidth="1"/>
    <col min="6668" max="6668" width="12.6640625" style="7" customWidth="1"/>
    <col min="6669" max="6669" width="11" style="7" customWidth="1"/>
    <col min="6670" max="6914" width="11.33203125" style="7"/>
    <col min="6915" max="6915" width="49.109375" style="7" customWidth="1"/>
    <col min="6916" max="6916" width="11.33203125" style="7" customWidth="1"/>
    <col min="6917" max="6918" width="11.6640625" style="7" customWidth="1"/>
    <col min="6919" max="6919" width="12.5546875" style="7" customWidth="1"/>
    <col min="6920" max="6920" width="11.6640625" style="7" bestFit="1" customWidth="1"/>
    <col min="6921" max="6922" width="15.6640625" style="7" bestFit="1" customWidth="1"/>
    <col min="6923" max="6923" width="39.109375" style="7" customWidth="1"/>
    <col min="6924" max="6924" width="12.6640625" style="7" customWidth="1"/>
    <col min="6925" max="6925" width="11" style="7" customWidth="1"/>
    <col min="6926" max="7170" width="11.33203125" style="7"/>
    <col min="7171" max="7171" width="49.109375" style="7" customWidth="1"/>
    <col min="7172" max="7172" width="11.33203125" style="7" customWidth="1"/>
    <col min="7173" max="7174" width="11.6640625" style="7" customWidth="1"/>
    <col min="7175" max="7175" width="12.5546875" style="7" customWidth="1"/>
    <col min="7176" max="7176" width="11.6640625" style="7" bestFit="1" customWidth="1"/>
    <col min="7177" max="7178" width="15.6640625" style="7" bestFit="1" customWidth="1"/>
    <col min="7179" max="7179" width="39.109375" style="7" customWidth="1"/>
    <col min="7180" max="7180" width="12.6640625" style="7" customWidth="1"/>
    <col min="7181" max="7181" width="11" style="7" customWidth="1"/>
    <col min="7182" max="7426" width="11.33203125" style="7"/>
    <col min="7427" max="7427" width="49.109375" style="7" customWidth="1"/>
    <col min="7428" max="7428" width="11.33203125" style="7" customWidth="1"/>
    <col min="7429" max="7430" width="11.6640625" style="7" customWidth="1"/>
    <col min="7431" max="7431" width="12.5546875" style="7" customWidth="1"/>
    <col min="7432" max="7432" width="11.6640625" style="7" bestFit="1" customWidth="1"/>
    <col min="7433" max="7434" width="15.6640625" style="7" bestFit="1" customWidth="1"/>
    <col min="7435" max="7435" width="39.109375" style="7" customWidth="1"/>
    <col min="7436" max="7436" width="12.6640625" style="7" customWidth="1"/>
    <col min="7437" max="7437" width="11" style="7" customWidth="1"/>
    <col min="7438" max="7682" width="11.33203125" style="7"/>
    <col min="7683" max="7683" width="49.109375" style="7" customWidth="1"/>
    <col min="7684" max="7684" width="11.33203125" style="7" customWidth="1"/>
    <col min="7685" max="7686" width="11.6640625" style="7" customWidth="1"/>
    <col min="7687" max="7687" width="12.5546875" style="7" customWidth="1"/>
    <col min="7688" max="7688" width="11.6640625" style="7" bestFit="1" customWidth="1"/>
    <col min="7689" max="7690" width="15.6640625" style="7" bestFit="1" customWidth="1"/>
    <col min="7691" max="7691" width="39.109375" style="7" customWidth="1"/>
    <col min="7692" max="7692" width="12.6640625" style="7" customWidth="1"/>
    <col min="7693" max="7693" width="11" style="7" customWidth="1"/>
    <col min="7694" max="7938" width="11.33203125" style="7"/>
    <col min="7939" max="7939" width="49.109375" style="7" customWidth="1"/>
    <col min="7940" max="7940" width="11.33203125" style="7" customWidth="1"/>
    <col min="7941" max="7942" width="11.6640625" style="7" customWidth="1"/>
    <col min="7943" max="7943" width="12.5546875" style="7" customWidth="1"/>
    <col min="7944" max="7944" width="11.6640625" style="7" bestFit="1" customWidth="1"/>
    <col min="7945" max="7946" width="15.6640625" style="7" bestFit="1" customWidth="1"/>
    <col min="7947" max="7947" width="39.109375" style="7" customWidth="1"/>
    <col min="7948" max="7948" width="12.6640625" style="7" customWidth="1"/>
    <col min="7949" max="7949" width="11" style="7" customWidth="1"/>
    <col min="7950" max="8194" width="11.33203125" style="7"/>
    <col min="8195" max="8195" width="49.109375" style="7" customWidth="1"/>
    <col min="8196" max="8196" width="11.33203125" style="7" customWidth="1"/>
    <col min="8197" max="8198" width="11.6640625" style="7" customWidth="1"/>
    <col min="8199" max="8199" width="12.5546875" style="7" customWidth="1"/>
    <col min="8200" max="8200" width="11.6640625" style="7" bestFit="1" customWidth="1"/>
    <col min="8201" max="8202" width="15.6640625" style="7" bestFit="1" customWidth="1"/>
    <col min="8203" max="8203" width="39.109375" style="7" customWidth="1"/>
    <col min="8204" max="8204" width="12.6640625" style="7" customWidth="1"/>
    <col min="8205" max="8205" width="11" style="7" customWidth="1"/>
    <col min="8206" max="8450" width="11.33203125" style="7"/>
    <col min="8451" max="8451" width="49.109375" style="7" customWidth="1"/>
    <col min="8452" max="8452" width="11.33203125" style="7" customWidth="1"/>
    <col min="8453" max="8454" width="11.6640625" style="7" customWidth="1"/>
    <col min="8455" max="8455" width="12.5546875" style="7" customWidth="1"/>
    <col min="8456" max="8456" width="11.6640625" style="7" bestFit="1" customWidth="1"/>
    <col min="8457" max="8458" width="15.6640625" style="7" bestFit="1" customWidth="1"/>
    <col min="8459" max="8459" width="39.109375" style="7" customWidth="1"/>
    <col min="8460" max="8460" width="12.6640625" style="7" customWidth="1"/>
    <col min="8461" max="8461" width="11" style="7" customWidth="1"/>
    <col min="8462" max="8706" width="11.33203125" style="7"/>
    <col min="8707" max="8707" width="49.109375" style="7" customWidth="1"/>
    <col min="8708" max="8708" width="11.33203125" style="7" customWidth="1"/>
    <col min="8709" max="8710" width="11.6640625" style="7" customWidth="1"/>
    <col min="8711" max="8711" width="12.5546875" style="7" customWidth="1"/>
    <col min="8712" max="8712" width="11.6640625" style="7" bestFit="1" customWidth="1"/>
    <col min="8713" max="8714" width="15.6640625" style="7" bestFit="1" customWidth="1"/>
    <col min="8715" max="8715" width="39.109375" style="7" customWidth="1"/>
    <col min="8716" max="8716" width="12.6640625" style="7" customWidth="1"/>
    <col min="8717" max="8717" width="11" style="7" customWidth="1"/>
    <col min="8718" max="8962" width="11.33203125" style="7"/>
    <col min="8963" max="8963" width="49.109375" style="7" customWidth="1"/>
    <col min="8964" max="8964" width="11.33203125" style="7" customWidth="1"/>
    <col min="8965" max="8966" width="11.6640625" style="7" customWidth="1"/>
    <col min="8967" max="8967" width="12.5546875" style="7" customWidth="1"/>
    <col min="8968" max="8968" width="11.6640625" style="7" bestFit="1" customWidth="1"/>
    <col min="8969" max="8970" width="15.6640625" style="7" bestFit="1" customWidth="1"/>
    <col min="8971" max="8971" width="39.109375" style="7" customWidth="1"/>
    <col min="8972" max="8972" width="12.6640625" style="7" customWidth="1"/>
    <col min="8973" max="8973" width="11" style="7" customWidth="1"/>
    <col min="8974" max="9218" width="11.33203125" style="7"/>
    <col min="9219" max="9219" width="49.109375" style="7" customWidth="1"/>
    <col min="9220" max="9220" width="11.33203125" style="7" customWidth="1"/>
    <col min="9221" max="9222" width="11.6640625" style="7" customWidth="1"/>
    <col min="9223" max="9223" width="12.5546875" style="7" customWidth="1"/>
    <col min="9224" max="9224" width="11.6640625" style="7" bestFit="1" customWidth="1"/>
    <col min="9225" max="9226" width="15.6640625" style="7" bestFit="1" customWidth="1"/>
    <col min="9227" max="9227" width="39.109375" style="7" customWidth="1"/>
    <col min="9228" max="9228" width="12.6640625" style="7" customWidth="1"/>
    <col min="9229" max="9229" width="11" style="7" customWidth="1"/>
    <col min="9230" max="9474" width="11.33203125" style="7"/>
    <col min="9475" max="9475" width="49.109375" style="7" customWidth="1"/>
    <col min="9476" max="9476" width="11.33203125" style="7" customWidth="1"/>
    <col min="9477" max="9478" width="11.6640625" style="7" customWidth="1"/>
    <col min="9479" max="9479" width="12.5546875" style="7" customWidth="1"/>
    <col min="9480" max="9480" width="11.6640625" style="7" bestFit="1" customWidth="1"/>
    <col min="9481" max="9482" width="15.6640625" style="7" bestFit="1" customWidth="1"/>
    <col min="9483" max="9483" width="39.109375" style="7" customWidth="1"/>
    <col min="9484" max="9484" width="12.6640625" style="7" customWidth="1"/>
    <col min="9485" max="9485" width="11" style="7" customWidth="1"/>
    <col min="9486" max="9730" width="11.33203125" style="7"/>
    <col min="9731" max="9731" width="49.109375" style="7" customWidth="1"/>
    <col min="9732" max="9732" width="11.33203125" style="7" customWidth="1"/>
    <col min="9733" max="9734" width="11.6640625" style="7" customWidth="1"/>
    <col min="9735" max="9735" width="12.5546875" style="7" customWidth="1"/>
    <col min="9736" max="9736" width="11.6640625" style="7" bestFit="1" customWidth="1"/>
    <col min="9737" max="9738" width="15.6640625" style="7" bestFit="1" customWidth="1"/>
    <col min="9739" max="9739" width="39.109375" style="7" customWidth="1"/>
    <col min="9740" max="9740" width="12.6640625" style="7" customWidth="1"/>
    <col min="9741" max="9741" width="11" style="7" customWidth="1"/>
    <col min="9742" max="9986" width="11.33203125" style="7"/>
    <col min="9987" max="9987" width="49.109375" style="7" customWidth="1"/>
    <col min="9988" max="9988" width="11.33203125" style="7" customWidth="1"/>
    <col min="9989" max="9990" width="11.6640625" style="7" customWidth="1"/>
    <col min="9991" max="9991" width="12.5546875" style="7" customWidth="1"/>
    <col min="9992" max="9992" width="11.6640625" style="7" bestFit="1" customWidth="1"/>
    <col min="9993" max="9994" width="15.6640625" style="7" bestFit="1" customWidth="1"/>
    <col min="9995" max="9995" width="39.109375" style="7" customWidth="1"/>
    <col min="9996" max="9996" width="12.6640625" style="7" customWidth="1"/>
    <col min="9997" max="9997" width="11" style="7" customWidth="1"/>
    <col min="9998" max="10242" width="11.33203125" style="7"/>
    <col min="10243" max="10243" width="49.109375" style="7" customWidth="1"/>
    <col min="10244" max="10244" width="11.33203125" style="7" customWidth="1"/>
    <col min="10245" max="10246" width="11.6640625" style="7" customWidth="1"/>
    <col min="10247" max="10247" width="12.5546875" style="7" customWidth="1"/>
    <col min="10248" max="10248" width="11.6640625" style="7" bestFit="1" customWidth="1"/>
    <col min="10249" max="10250" width="15.6640625" style="7" bestFit="1" customWidth="1"/>
    <col min="10251" max="10251" width="39.109375" style="7" customWidth="1"/>
    <col min="10252" max="10252" width="12.6640625" style="7" customWidth="1"/>
    <col min="10253" max="10253" width="11" style="7" customWidth="1"/>
    <col min="10254" max="10498" width="11.33203125" style="7"/>
    <col min="10499" max="10499" width="49.109375" style="7" customWidth="1"/>
    <col min="10500" max="10500" width="11.33203125" style="7" customWidth="1"/>
    <col min="10501" max="10502" width="11.6640625" style="7" customWidth="1"/>
    <col min="10503" max="10503" width="12.5546875" style="7" customWidth="1"/>
    <col min="10504" max="10504" width="11.6640625" style="7" bestFit="1" customWidth="1"/>
    <col min="10505" max="10506" width="15.6640625" style="7" bestFit="1" customWidth="1"/>
    <col min="10507" max="10507" width="39.109375" style="7" customWidth="1"/>
    <col min="10508" max="10508" width="12.6640625" style="7" customWidth="1"/>
    <col min="10509" max="10509" width="11" style="7" customWidth="1"/>
    <col min="10510" max="10754" width="11.33203125" style="7"/>
    <col min="10755" max="10755" width="49.109375" style="7" customWidth="1"/>
    <col min="10756" max="10756" width="11.33203125" style="7" customWidth="1"/>
    <col min="10757" max="10758" width="11.6640625" style="7" customWidth="1"/>
    <col min="10759" max="10759" width="12.5546875" style="7" customWidth="1"/>
    <col min="10760" max="10760" width="11.6640625" style="7" bestFit="1" customWidth="1"/>
    <col min="10761" max="10762" width="15.6640625" style="7" bestFit="1" customWidth="1"/>
    <col min="10763" max="10763" width="39.109375" style="7" customWidth="1"/>
    <col min="10764" max="10764" width="12.6640625" style="7" customWidth="1"/>
    <col min="10765" max="10765" width="11" style="7" customWidth="1"/>
    <col min="10766" max="11010" width="11.33203125" style="7"/>
    <col min="11011" max="11011" width="49.109375" style="7" customWidth="1"/>
    <col min="11012" max="11012" width="11.33203125" style="7" customWidth="1"/>
    <col min="11013" max="11014" width="11.6640625" style="7" customWidth="1"/>
    <col min="11015" max="11015" width="12.5546875" style="7" customWidth="1"/>
    <col min="11016" max="11016" width="11.6640625" style="7" bestFit="1" customWidth="1"/>
    <col min="11017" max="11018" width="15.6640625" style="7" bestFit="1" customWidth="1"/>
    <col min="11019" max="11019" width="39.109375" style="7" customWidth="1"/>
    <col min="11020" max="11020" width="12.6640625" style="7" customWidth="1"/>
    <col min="11021" max="11021" width="11" style="7" customWidth="1"/>
    <col min="11022" max="11266" width="11.33203125" style="7"/>
    <col min="11267" max="11267" width="49.109375" style="7" customWidth="1"/>
    <col min="11268" max="11268" width="11.33203125" style="7" customWidth="1"/>
    <col min="11269" max="11270" width="11.6640625" style="7" customWidth="1"/>
    <col min="11271" max="11271" width="12.5546875" style="7" customWidth="1"/>
    <col min="11272" max="11272" width="11.6640625" style="7" bestFit="1" customWidth="1"/>
    <col min="11273" max="11274" width="15.6640625" style="7" bestFit="1" customWidth="1"/>
    <col min="11275" max="11275" width="39.109375" style="7" customWidth="1"/>
    <col min="11276" max="11276" width="12.6640625" style="7" customWidth="1"/>
    <col min="11277" max="11277" width="11" style="7" customWidth="1"/>
    <col min="11278" max="11522" width="11.33203125" style="7"/>
    <col min="11523" max="11523" width="49.109375" style="7" customWidth="1"/>
    <col min="11524" max="11524" width="11.33203125" style="7" customWidth="1"/>
    <col min="11525" max="11526" width="11.6640625" style="7" customWidth="1"/>
    <col min="11527" max="11527" width="12.5546875" style="7" customWidth="1"/>
    <col min="11528" max="11528" width="11.6640625" style="7" bestFit="1" customWidth="1"/>
    <col min="11529" max="11530" width="15.6640625" style="7" bestFit="1" customWidth="1"/>
    <col min="11531" max="11531" width="39.109375" style="7" customWidth="1"/>
    <col min="11532" max="11532" width="12.6640625" style="7" customWidth="1"/>
    <col min="11533" max="11533" width="11" style="7" customWidth="1"/>
    <col min="11534" max="11778" width="11.33203125" style="7"/>
    <col min="11779" max="11779" width="49.109375" style="7" customWidth="1"/>
    <col min="11780" max="11780" width="11.33203125" style="7" customWidth="1"/>
    <col min="11781" max="11782" width="11.6640625" style="7" customWidth="1"/>
    <col min="11783" max="11783" width="12.5546875" style="7" customWidth="1"/>
    <col min="11784" max="11784" width="11.6640625" style="7" bestFit="1" customWidth="1"/>
    <col min="11785" max="11786" width="15.6640625" style="7" bestFit="1" customWidth="1"/>
    <col min="11787" max="11787" width="39.109375" style="7" customWidth="1"/>
    <col min="11788" max="11788" width="12.6640625" style="7" customWidth="1"/>
    <col min="11789" max="11789" width="11" style="7" customWidth="1"/>
    <col min="11790" max="12034" width="11.33203125" style="7"/>
    <col min="12035" max="12035" width="49.109375" style="7" customWidth="1"/>
    <col min="12036" max="12036" width="11.33203125" style="7" customWidth="1"/>
    <col min="12037" max="12038" width="11.6640625" style="7" customWidth="1"/>
    <col min="12039" max="12039" width="12.5546875" style="7" customWidth="1"/>
    <col min="12040" max="12040" width="11.6640625" style="7" bestFit="1" customWidth="1"/>
    <col min="12041" max="12042" width="15.6640625" style="7" bestFit="1" customWidth="1"/>
    <col min="12043" max="12043" width="39.109375" style="7" customWidth="1"/>
    <col min="12044" max="12044" width="12.6640625" style="7" customWidth="1"/>
    <col min="12045" max="12045" width="11" style="7" customWidth="1"/>
    <col min="12046" max="12290" width="11.33203125" style="7"/>
    <col min="12291" max="12291" width="49.109375" style="7" customWidth="1"/>
    <col min="12292" max="12292" width="11.33203125" style="7" customWidth="1"/>
    <col min="12293" max="12294" width="11.6640625" style="7" customWidth="1"/>
    <col min="12295" max="12295" width="12.5546875" style="7" customWidth="1"/>
    <col min="12296" max="12296" width="11.6640625" style="7" bestFit="1" customWidth="1"/>
    <col min="12297" max="12298" width="15.6640625" style="7" bestFit="1" customWidth="1"/>
    <col min="12299" max="12299" width="39.109375" style="7" customWidth="1"/>
    <col min="12300" max="12300" width="12.6640625" style="7" customWidth="1"/>
    <col min="12301" max="12301" width="11" style="7" customWidth="1"/>
    <col min="12302" max="12546" width="11.33203125" style="7"/>
    <col min="12547" max="12547" width="49.109375" style="7" customWidth="1"/>
    <col min="12548" max="12548" width="11.33203125" style="7" customWidth="1"/>
    <col min="12549" max="12550" width="11.6640625" style="7" customWidth="1"/>
    <col min="12551" max="12551" width="12.5546875" style="7" customWidth="1"/>
    <col min="12552" max="12552" width="11.6640625" style="7" bestFit="1" customWidth="1"/>
    <col min="12553" max="12554" width="15.6640625" style="7" bestFit="1" customWidth="1"/>
    <col min="12555" max="12555" width="39.109375" style="7" customWidth="1"/>
    <col min="12556" max="12556" width="12.6640625" style="7" customWidth="1"/>
    <col min="12557" max="12557" width="11" style="7" customWidth="1"/>
    <col min="12558" max="12802" width="11.33203125" style="7"/>
    <col min="12803" max="12803" width="49.109375" style="7" customWidth="1"/>
    <col min="12804" max="12804" width="11.33203125" style="7" customWidth="1"/>
    <col min="12805" max="12806" width="11.6640625" style="7" customWidth="1"/>
    <col min="12807" max="12807" width="12.5546875" style="7" customWidth="1"/>
    <col min="12808" max="12808" width="11.6640625" style="7" bestFit="1" customWidth="1"/>
    <col min="12809" max="12810" width="15.6640625" style="7" bestFit="1" customWidth="1"/>
    <col min="12811" max="12811" width="39.109375" style="7" customWidth="1"/>
    <col min="12812" max="12812" width="12.6640625" style="7" customWidth="1"/>
    <col min="12813" max="12813" width="11" style="7" customWidth="1"/>
    <col min="12814" max="13058" width="11.33203125" style="7"/>
    <col min="13059" max="13059" width="49.109375" style="7" customWidth="1"/>
    <col min="13060" max="13060" width="11.33203125" style="7" customWidth="1"/>
    <col min="13061" max="13062" width="11.6640625" style="7" customWidth="1"/>
    <col min="13063" max="13063" width="12.5546875" style="7" customWidth="1"/>
    <col min="13064" max="13064" width="11.6640625" style="7" bestFit="1" customWidth="1"/>
    <col min="13065" max="13066" width="15.6640625" style="7" bestFit="1" customWidth="1"/>
    <col min="13067" max="13067" width="39.109375" style="7" customWidth="1"/>
    <col min="13068" max="13068" width="12.6640625" style="7" customWidth="1"/>
    <col min="13069" max="13069" width="11" style="7" customWidth="1"/>
    <col min="13070" max="13314" width="11.33203125" style="7"/>
    <col min="13315" max="13315" width="49.109375" style="7" customWidth="1"/>
    <col min="13316" max="13316" width="11.33203125" style="7" customWidth="1"/>
    <col min="13317" max="13318" width="11.6640625" style="7" customWidth="1"/>
    <col min="13319" max="13319" width="12.5546875" style="7" customWidth="1"/>
    <col min="13320" max="13320" width="11.6640625" style="7" bestFit="1" customWidth="1"/>
    <col min="13321" max="13322" width="15.6640625" style="7" bestFit="1" customWidth="1"/>
    <col min="13323" max="13323" width="39.109375" style="7" customWidth="1"/>
    <col min="13324" max="13324" width="12.6640625" style="7" customWidth="1"/>
    <col min="13325" max="13325" width="11" style="7" customWidth="1"/>
    <col min="13326" max="13570" width="11.33203125" style="7"/>
    <col min="13571" max="13571" width="49.109375" style="7" customWidth="1"/>
    <col min="13572" max="13572" width="11.33203125" style="7" customWidth="1"/>
    <col min="13573" max="13574" width="11.6640625" style="7" customWidth="1"/>
    <col min="13575" max="13575" width="12.5546875" style="7" customWidth="1"/>
    <col min="13576" max="13576" width="11.6640625" style="7" bestFit="1" customWidth="1"/>
    <col min="13577" max="13578" width="15.6640625" style="7" bestFit="1" customWidth="1"/>
    <col min="13579" max="13579" width="39.109375" style="7" customWidth="1"/>
    <col min="13580" max="13580" width="12.6640625" style="7" customWidth="1"/>
    <col min="13581" max="13581" width="11" style="7" customWidth="1"/>
    <col min="13582" max="13826" width="11.33203125" style="7"/>
    <col min="13827" max="13827" width="49.109375" style="7" customWidth="1"/>
    <col min="13828" max="13828" width="11.33203125" style="7" customWidth="1"/>
    <col min="13829" max="13830" width="11.6640625" style="7" customWidth="1"/>
    <col min="13831" max="13831" width="12.5546875" style="7" customWidth="1"/>
    <col min="13832" max="13832" width="11.6640625" style="7" bestFit="1" customWidth="1"/>
    <col min="13833" max="13834" width="15.6640625" style="7" bestFit="1" customWidth="1"/>
    <col min="13835" max="13835" width="39.109375" style="7" customWidth="1"/>
    <col min="13836" max="13836" width="12.6640625" style="7" customWidth="1"/>
    <col min="13837" max="13837" width="11" style="7" customWidth="1"/>
    <col min="13838" max="14082" width="11.33203125" style="7"/>
    <col min="14083" max="14083" width="49.109375" style="7" customWidth="1"/>
    <col min="14084" max="14084" width="11.33203125" style="7" customWidth="1"/>
    <col min="14085" max="14086" width="11.6640625" style="7" customWidth="1"/>
    <col min="14087" max="14087" width="12.5546875" style="7" customWidth="1"/>
    <col min="14088" max="14088" width="11.6640625" style="7" bestFit="1" customWidth="1"/>
    <col min="14089" max="14090" width="15.6640625" style="7" bestFit="1" customWidth="1"/>
    <col min="14091" max="14091" width="39.109375" style="7" customWidth="1"/>
    <col min="14092" max="14092" width="12.6640625" style="7" customWidth="1"/>
    <col min="14093" max="14093" width="11" style="7" customWidth="1"/>
    <col min="14094" max="14338" width="11.33203125" style="7"/>
    <col min="14339" max="14339" width="49.109375" style="7" customWidth="1"/>
    <col min="14340" max="14340" width="11.33203125" style="7" customWidth="1"/>
    <col min="14341" max="14342" width="11.6640625" style="7" customWidth="1"/>
    <col min="14343" max="14343" width="12.5546875" style="7" customWidth="1"/>
    <col min="14344" max="14344" width="11.6640625" style="7" bestFit="1" customWidth="1"/>
    <col min="14345" max="14346" width="15.6640625" style="7" bestFit="1" customWidth="1"/>
    <col min="14347" max="14347" width="39.109375" style="7" customWidth="1"/>
    <col min="14348" max="14348" width="12.6640625" style="7" customWidth="1"/>
    <col min="14349" max="14349" width="11" style="7" customWidth="1"/>
    <col min="14350" max="14594" width="11.33203125" style="7"/>
    <col min="14595" max="14595" width="49.109375" style="7" customWidth="1"/>
    <col min="14596" max="14596" width="11.33203125" style="7" customWidth="1"/>
    <col min="14597" max="14598" width="11.6640625" style="7" customWidth="1"/>
    <col min="14599" max="14599" width="12.5546875" style="7" customWidth="1"/>
    <col min="14600" max="14600" width="11.6640625" style="7" bestFit="1" customWidth="1"/>
    <col min="14601" max="14602" width="15.6640625" style="7" bestFit="1" customWidth="1"/>
    <col min="14603" max="14603" width="39.109375" style="7" customWidth="1"/>
    <col min="14604" max="14604" width="12.6640625" style="7" customWidth="1"/>
    <col min="14605" max="14605" width="11" style="7" customWidth="1"/>
    <col min="14606" max="14850" width="11.33203125" style="7"/>
    <col min="14851" max="14851" width="49.109375" style="7" customWidth="1"/>
    <col min="14852" max="14852" width="11.33203125" style="7" customWidth="1"/>
    <col min="14853" max="14854" width="11.6640625" style="7" customWidth="1"/>
    <col min="14855" max="14855" width="12.5546875" style="7" customWidth="1"/>
    <col min="14856" max="14856" width="11.6640625" style="7" bestFit="1" customWidth="1"/>
    <col min="14857" max="14858" width="15.6640625" style="7" bestFit="1" customWidth="1"/>
    <col min="14859" max="14859" width="39.109375" style="7" customWidth="1"/>
    <col min="14860" max="14860" width="12.6640625" style="7" customWidth="1"/>
    <col min="14861" max="14861" width="11" style="7" customWidth="1"/>
    <col min="14862" max="15106" width="11.33203125" style="7"/>
    <col min="15107" max="15107" width="49.109375" style="7" customWidth="1"/>
    <col min="15108" max="15108" width="11.33203125" style="7" customWidth="1"/>
    <col min="15109" max="15110" width="11.6640625" style="7" customWidth="1"/>
    <col min="15111" max="15111" width="12.5546875" style="7" customWidth="1"/>
    <col min="15112" max="15112" width="11.6640625" style="7" bestFit="1" customWidth="1"/>
    <col min="15113" max="15114" width="15.6640625" style="7" bestFit="1" customWidth="1"/>
    <col min="15115" max="15115" width="39.109375" style="7" customWidth="1"/>
    <col min="15116" max="15116" width="12.6640625" style="7" customWidth="1"/>
    <col min="15117" max="15117" width="11" style="7" customWidth="1"/>
    <col min="15118" max="15362" width="11.33203125" style="7"/>
    <col min="15363" max="15363" width="49.109375" style="7" customWidth="1"/>
    <col min="15364" max="15364" width="11.33203125" style="7" customWidth="1"/>
    <col min="15365" max="15366" width="11.6640625" style="7" customWidth="1"/>
    <col min="15367" max="15367" width="12.5546875" style="7" customWidth="1"/>
    <col min="15368" max="15368" width="11.6640625" style="7" bestFit="1" customWidth="1"/>
    <col min="15369" max="15370" width="15.6640625" style="7" bestFit="1" customWidth="1"/>
    <col min="15371" max="15371" width="39.109375" style="7" customWidth="1"/>
    <col min="15372" max="15372" width="12.6640625" style="7" customWidth="1"/>
    <col min="15373" max="15373" width="11" style="7" customWidth="1"/>
    <col min="15374" max="15618" width="11.33203125" style="7"/>
    <col min="15619" max="15619" width="49.109375" style="7" customWidth="1"/>
    <col min="15620" max="15620" width="11.33203125" style="7" customWidth="1"/>
    <col min="15621" max="15622" width="11.6640625" style="7" customWidth="1"/>
    <col min="15623" max="15623" width="12.5546875" style="7" customWidth="1"/>
    <col min="15624" max="15624" width="11.6640625" style="7" bestFit="1" customWidth="1"/>
    <col min="15625" max="15626" width="15.6640625" style="7" bestFit="1" customWidth="1"/>
    <col min="15627" max="15627" width="39.109375" style="7" customWidth="1"/>
    <col min="15628" max="15628" width="12.6640625" style="7" customWidth="1"/>
    <col min="15629" max="15629" width="11" style="7" customWidth="1"/>
    <col min="15630" max="15874" width="11.33203125" style="7"/>
    <col min="15875" max="15875" width="49.109375" style="7" customWidth="1"/>
    <col min="15876" max="15876" width="11.33203125" style="7" customWidth="1"/>
    <col min="15877" max="15878" width="11.6640625" style="7" customWidth="1"/>
    <col min="15879" max="15879" width="12.5546875" style="7" customWidth="1"/>
    <col min="15880" max="15880" width="11.6640625" style="7" bestFit="1" customWidth="1"/>
    <col min="15881" max="15882" width="15.6640625" style="7" bestFit="1" customWidth="1"/>
    <col min="15883" max="15883" width="39.109375" style="7" customWidth="1"/>
    <col min="15884" max="15884" width="12.6640625" style="7" customWidth="1"/>
    <col min="15885" max="15885" width="11" style="7" customWidth="1"/>
    <col min="15886" max="16130" width="11.33203125" style="7"/>
    <col min="16131" max="16131" width="49.109375" style="7" customWidth="1"/>
    <col min="16132" max="16132" width="11.33203125" style="7" customWidth="1"/>
    <col min="16133" max="16134" width="11.6640625" style="7" customWidth="1"/>
    <col min="16135" max="16135" width="12.5546875" style="7" customWidth="1"/>
    <col min="16136" max="16136" width="11.6640625" style="7" bestFit="1" customWidth="1"/>
    <col min="16137" max="16138" width="15.6640625" style="7" bestFit="1" customWidth="1"/>
    <col min="16139" max="16139" width="39.109375" style="7" customWidth="1"/>
    <col min="16140" max="16140" width="12.6640625" style="7" customWidth="1"/>
    <col min="16141" max="16141" width="11" style="7" customWidth="1"/>
    <col min="16142" max="16384" width="11.33203125" style="7"/>
  </cols>
  <sheetData>
    <row r="1" spans="1:14" ht="26.25" customHeight="1" x14ac:dyDescent="0.4">
      <c r="A1" s="1" t="str">
        <f>Worksheet!A1</f>
        <v xml:space="preserve">2019 Willamette Spring Chinook Return to Columbia River        </v>
      </c>
      <c r="B1" s="2"/>
      <c r="C1" s="2"/>
      <c r="D1" s="2"/>
      <c r="E1" s="2"/>
      <c r="F1" s="2"/>
      <c r="G1" s="2"/>
      <c r="H1" s="3"/>
    </row>
    <row r="2" spans="1:14" ht="21.75" customHeight="1" x14ac:dyDescent="0.4">
      <c r="A2" s="8"/>
      <c r="B2" s="8"/>
      <c r="C2" s="8"/>
      <c r="D2" s="8"/>
      <c r="E2" s="8"/>
      <c r="F2" s="8"/>
      <c r="G2" s="8"/>
      <c r="H2" s="8"/>
    </row>
    <row r="3" spans="1:14" ht="21.75" customHeight="1" x14ac:dyDescent="0.4">
      <c r="A3" s="9"/>
      <c r="B3" s="8"/>
      <c r="C3" s="8"/>
      <c r="D3" s="8"/>
      <c r="E3" s="8"/>
      <c r="F3" s="8"/>
      <c r="G3" s="8"/>
      <c r="H3" s="8"/>
    </row>
    <row r="4" spans="1:14" ht="21.75" customHeight="1" x14ac:dyDescent="0.4">
      <c r="A4" s="10"/>
      <c r="D4" s="10"/>
      <c r="E4" s="10"/>
      <c r="F4" s="10"/>
      <c r="G4" s="10"/>
    </row>
    <row r="5" spans="1:14" ht="21.75" customHeight="1" x14ac:dyDescent="0.4">
      <c r="A5" s="13" t="s">
        <v>1</v>
      </c>
      <c r="B5" s="13"/>
      <c r="C5" s="13"/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69" t="s">
        <v>26</v>
      </c>
      <c r="J5" s="69"/>
      <c r="K5" s="69"/>
    </row>
    <row r="6" spans="1:14" ht="21.75" customHeight="1" x14ac:dyDescent="0.4">
      <c r="A6" s="8" t="s">
        <v>7</v>
      </c>
      <c r="B6" s="8"/>
      <c r="C6" s="8"/>
      <c r="D6" s="18">
        <f>Worksheet!D6</f>
        <v>4</v>
      </c>
      <c r="E6" s="18">
        <f>Worksheet!E6</f>
        <v>162</v>
      </c>
      <c r="F6" s="18">
        <f>Worksheet!F6</f>
        <v>133</v>
      </c>
      <c r="G6" s="18">
        <f>Worksheet!G6</f>
        <v>30</v>
      </c>
      <c r="H6" s="19">
        <f>Worksheet!H6</f>
        <v>329</v>
      </c>
      <c r="I6" s="84">
        <f>+H6-D6</f>
        <v>325</v>
      </c>
      <c r="J6" s="62"/>
      <c r="K6" s="85"/>
      <c r="M6" s="70"/>
      <c r="N6" s="70"/>
    </row>
    <row r="7" spans="1:14" ht="21.75" customHeight="1" x14ac:dyDescent="0.4">
      <c r="A7" s="8" t="s">
        <v>8</v>
      </c>
      <c r="B7" s="8"/>
      <c r="C7" s="8"/>
      <c r="D7" s="18">
        <f>Worksheet!D7</f>
        <v>5</v>
      </c>
      <c r="E7" s="18">
        <f>Worksheet!E7</f>
        <v>121</v>
      </c>
      <c r="F7" s="18">
        <f>Worksheet!F7</f>
        <v>75</v>
      </c>
      <c r="G7" s="18">
        <f>Worksheet!G7</f>
        <v>0</v>
      </c>
      <c r="H7" s="19">
        <f>Worksheet!H7</f>
        <v>201</v>
      </c>
      <c r="I7" s="84">
        <f t="shared" ref="I7:I13" si="0">+H7-D7</f>
        <v>196</v>
      </c>
      <c r="M7" s="86"/>
      <c r="N7" s="51"/>
    </row>
    <row r="8" spans="1:14" ht="21.75" customHeight="1" x14ac:dyDescent="0.4">
      <c r="A8" s="8" t="s">
        <v>9</v>
      </c>
      <c r="B8" s="8"/>
      <c r="C8" s="8"/>
      <c r="D8" s="18">
        <f>Worksheet!D8</f>
        <v>0</v>
      </c>
      <c r="E8" s="18">
        <f>Worksheet!E8</f>
        <v>7</v>
      </c>
      <c r="F8" s="18">
        <f>Worksheet!F8</f>
        <v>5</v>
      </c>
      <c r="G8" s="18">
        <f>Worksheet!G8</f>
        <v>0</v>
      </c>
      <c r="H8" s="19">
        <f>Worksheet!H8</f>
        <v>12</v>
      </c>
      <c r="I8" s="84">
        <f t="shared" si="0"/>
        <v>12</v>
      </c>
      <c r="J8" s="28"/>
      <c r="K8" s="31"/>
    </row>
    <row r="9" spans="1:14" ht="21.75" customHeight="1" x14ac:dyDescent="0.4">
      <c r="A9" s="8" t="s">
        <v>95</v>
      </c>
      <c r="B9" s="8"/>
      <c r="C9" s="8"/>
      <c r="D9" s="18">
        <f>Worksheet!D9</f>
        <v>62</v>
      </c>
      <c r="E9" s="18">
        <f>Worksheet!E9</f>
        <v>2682</v>
      </c>
      <c r="F9" s="18">
        <f>Worksheet!F9</f>
        <v>1676</v>
      </c>
      <c r="G9" s="18">
        <f>Worksheet!G9</f>
        <v>39</v>
      </c>
      <c r="H9" s="19">
        <f>Worksheet!H9</f>
        <v>4459</v>
      </c>
      <c r="I9" s="84">
        <f t="shared" si="0"/>
        <v>4397</v>
      </c>
    </row>
    <row r="10" spans="1:14" ht="24.75" customHeight="1" x14ac:dyDescent="0.4">
      <c r="A10" s="8" t="s">
        <v>96</v>
      </c>
      <c r="B10" s="8"/>
      <c r="C10" s="8"/>
      <c r="D10" s="18">
        <f>Worksheet!D10</f>
        <v>3</v>
      </c>
      <c r="E10" s="18">
        <f>Worksheet!E10</f>
        <v>128</v>
      </c>
      <c r="F10" s="18">
        <f>Worksheet!F10</f>
        <v>80</v>
      </c>
      <c r="G10" s="18">
        <f>Worksheet!G10</f>
        <v>2</v>
      </c>
      <c r="H10" s="19">
        <f>Worksheet!H10</f>
        <v>213</v>
      </c>
      <c r="I10" s="84">
        <f t="shared" si="0"/>
        <v>210</v>
      </c>
      <c r="J10" s="28"/>
      <c r="K10" s="31"/>
    </row>
    <row r="11" spans="1:14" ht="21.75" customHeight="1" x14ac:dyDescent="0.4">
      <c r="A11" s="8" t="s">
        <v>11</v>
      </c>
      <c r="B11" s="8"/>
      <c r="C11" s="8"/>
      <c r="D11" s="18">
        <f>Worksheet!D11</f>
        <v>0</v>
      </c>
      <c r="E11" s="18">
        <f>Worksheet!E11</f>
        <v>0</v>
      </c>
      <c r="F11" s="18">
        <f>Worksheet!F11</f>
        <v>0</v>
      </c>
      <c r="G11" s="18">
        <f>Worksheet!G11</f>
        <v>0</v>
      </c>
      <c r="H11" s="19">
        <f>Worksheet!H11</f>
        <v>0</v>
      </c>
      <c r="I11" s="84">
        <f t="shared" si="0"/>
        <v>0</v>
      </c>
    </row>
    <row r="12" spans="1:14" ht="24" customHeight="1" x14ac:dyDescent="0.4">
      <c r="A12" s="8" t="s">
        <v>36</v>
      </c>
      <c r="B12" s="8"/>
      <c r="C12" s="8"/>
      <c r="D12" s="18">
        <f>Worksheet!D12</f>
        <v>0</v>
      </c>
      <c r="E12" s="18">
        <f>Worksheet!E12</f>
        <v>1</v>
      </c>
      <c r="F12" s="18">
        <f>Worksheet!F12</f>
        <v>0</v>
      </c>
      <c r="G12" s="18">
        <f>Worksheet!G12</f>
        <v>0</v>
      </c>
      <c r="H12" s="19">
        <f>Worksheet!H12</f>
        <v>1</v>
      </c>
      <c r="I12" s="84">
        <f t="shared" si="0"/>
        <v>1</v>
      </c>
      <c r="J12" s="28"/>
      <c r="K12" s="31"/>
    </row>
    <row r="13" spans="1:14" ht="24" customHeight="1" x14ac:dyDescent="0.4">
      <c r="A13" s="8" t="s">
        <v>97</v>
      </c>
      <c r="B13" s="8"/>
      <c r="C13" s="8"/>
      <c r="D13" s="18">
        <f>Worksheet!D13</f>
        <v>0</v>
      </c>
      <c r="E13" s="18">
        <f>Worksheet!E13</f>
        <v>1</v>
      </c>
      <c r="F13" s="18">
        <f>Worksheet!F13</f>
        <v>1</v>
      </c>
      <c r="G13" s="18">
        <f>Worksheet!G13</f>
        <v>0</v>
      </c>
      <c r="H13" s="19">
        <f>Worksheet!H13</f>
        <v>2</v>
      </c>
      <c r="I13" s="84">
        <f t="shared" si="0"/>
        <v>2</v>
      </c>
      <c r="J13" s="28"/>
      <c r="K13" s="31"/>
    </row>
    <row r="14" spans="1:14" ht="21.75" customHeight="1" thickBot="1" x14ac:dyDescent="0.45">
      <c r="A14" s="8"/>
      <c r="B14" s="8"/>
      <c r="C14" s="8"/>
      <c r="D14" s="8"/>
      <c r="E14" s="8"/>
      <c r="F14" s="8"/>
      <c r="G14" s="24"/>
      <c r="H14" s="25"/>
    </row>
    <row r="15" spans="1:14" ht="21.75" customHeight="1" thickTop="1" x14ac:dyDescent="0.4">
      <c r="A15" s="26" t="s">
        <v>12</v>
      </c>
      <c r="B15" s="26"/>
      <c r="C15" s="26"/>
      <c r="D15" s="27">
        <f>SUM(D6:D13)</f>
        <v>74</v>
      </c>
      <c r="E15" s="27">
        <f>SUM(E6:E13)</f>
        <v>3102</v>
      </c>
      <c r="F15" s="27">
        <f>SUM(F6:F13)</f>
        <v>1970</v>
      </c>
      <c r="G15" s="27">
        <f>SUM(G6:G13)</f>
        <v>71</v>
      </c>
      <c r="H15" s="19">
        <f>SUM(H6:H13)</f>
        <v>5217</v>
      </c>
      <c r="I15" s="84">
        <f>+H15-D15</f>
        <v>5143</v>
      </c>
      <c r="J15" s="19"/>
      <c r="K15" s="20"/>
      <c r="L15" s="31"/>
    </row>
    <row r="16" spans="1:14" ht="21.75" customHeight="1" x14ac:dyDescent="0.4">
      <c r="H16" s="71"/>
    </row>
    <row r="17" spans="1:18" ht="21.75" customHeight="1" x14ac:dyDescent="0.4">
      <c r="A17" s="8"/>
      <c r="B17" s="8"/>
      <c r="C17" s="8"/>
      <c r="D17" s="8"/>
      <c r="E17" s="8"/>
      <c r="F17" s="8" t="s">
        <v>13</v>
      </c>
      <c r="G17" s="8"/>
      <c r="H17" s="9"/>
    </row>
    <row r="18" spans="1:18" ht="21.75" customHeight="1" x14ac:dyDescent="0.4">
      <c r="A18" s="13" t="s">
        <v>14</v>
      </c>
      <c r="B18" s="13"/>
      <c r="C18" s="13"/>
      <c r="D18" s="13"/>
      <c r="E18" s="13"/>
      <c r="F18" s="13"/>
      <c r="G18" s="13"/>
      <c r="H18" s="13"/>
    </row>
    <row r="19" spans="1:18" ht="25.5" customHeight="1" x14ac:dyDescent="0.4">
      <c r="A19" s="8" t="s">
        <v>37</v>
      </c>
      <c r="B19" s="8"/>
      <c r="C19" s="8"/>
      <c r="D19" s="18">
        <f>Worksheet!D19</f>
        <v>1734</v>
      </c>
      <c r="E19" s="18">
        <f>Worksheet!E19</f>
        <v>11748</v>
      </c>
      <c r="F19" s="18">
        <f>Worksheet!F19</f>
        <v>6968</v>
      </c>
      <c r="G19" s="18">
        <f>Worksheet!G19</f>
        <v>167</v>
      </c>
      <c r="H19" s="19">
        <f>Worksheet!H19</f>
        <v>20617</v>
      </c>
      <c r="I19" s="84">
        <f t="shared" ref="I19:I27" si="1">+H19-D19</f>
        <v>18883</v>
      </c>
      <c r="J19" s="28"/>
      <c r="K19" s="31"/>
      <c r="L19" s="85"/>
    </row>
    <row r="20" spans="1:18" ht="21.75" customHeight="1" x14ac:dyDescent="0.4">
      <c r="A20" s="8" t="s">
        <v>15</v>
      </c>
      <c r="B20" s="8"/>
      <c r="C20" s="8"/>
      <c r="D20" s="18">
        <f>Worksheet!D20</f>
        <v>1</v>
      </c>
      <c r="E20" s="18">
        <f>Worksheet!E20</f>
        <v>34</v>
      </c>
      <c r="F20" s="18">
        <f>Worksheet!F20</f>
        <v>22</v>
      </c>
      <c r="G20" s="18">
        <f>Worksheet!G20</f>
        <v>1</v>
      </c>
      <c r="H20" s="19">
        <f>Worksheet!H20</f>
        <v>58</v>
      </c>
      <c r="I20" s="84">
        <f t="shared" si="1"/>
        <v>57</v>
      </c>
      <c r="J20" s="28"/>
      <c r="K20" s="31"/>
      <c r="L20" s="85"/>
    </row>
    <row r="21" spans="1:18" ht="24" customHeight="1" x14ac:dyDescent="0.4">
      <c r="A21" s="8" t="s">
        <v>38</v>
      </c>
      <c r="B21" s="8"/>
      <c r="C21" s="8"/>
      <c r="D21" s="18">
        <f>Worksheet!D21</f>
        <v>34</v>
      </c>
      <c r="E21" s="18">
        <f>Worksheet!E21</f>
        <v>88</v>
      </c>
      <c r="F21" s="18">
        <f>Worksheet!F21</f>
        <v>31</v>
      </c>
      <c r="G21" s="18">
        <f>Worksheet!G21</f>
        <v>0</v>
      </c>
      <c r="H21" s="19">
        <f>Worksheet!H21</f>
        <v>153</v>
      </c>
      <c r="I21" s="84">
        <f t="shared" si="1"/>
        <v>119</v>
      </c>
    </row>
    <row r="22" spans="1:18" ht="24.75" customHeight="1" x14ac:dyDescent="0.4">
      <c r="A22" s="8" t="s">
        <v>39</v>
      </c>
      <c r="B22" s="8"/>
      <c r="C22" s="8"/>
      <c r="D22" s="18">
        <f>Worksheet!D22</f>
        <v>5</v>
      </c>
      <c r="E22" s="18">
        <f>Worksheet!E22</f>
        <v>37</v>
      </c>
      <c r="F22" s="18">
        <f>Worksheet!F22</f>
        <v>13</v>
      </c>
      <c r="G22" s="18">
        <f>Worksheet!G22</f>
        <v>0</v>
      </c>
      <c r="H22" s="19">
        <f>Worksheet!H22</f>
        <v>55</v>
      </c>
      <c r="I22" s="84">
        <f t="shared" si="1"/>
        <v>50</v>
      </c>
    </row>
    <row r="23" spans="1:18" ht="24" customHeight="1" x14ac:dyDescent="0.4">
      <c r="A23" s="8" t="s">
        <v>29</v>
      </c>
      <c r="B23" s="8"/>
      <c r="C23" s="8"/>
      <c r="D23" s="18">
        <f>Worksheet!D23</f>
        <v>4</v>
      </c>
      <c r="E23" s="18">
        <f>Worksheet!E23</f>
        <v>14</v>
      </c>
      <c r="F23" s="18">
        <f>Worksheet!F23</f>
        <v>5</v>
      </c>
      <c r="G23" s="18">
        <f>Worksheet!G23</f>
        <v>0</v>
      </c>
      <c r="H23" s="19">
        <f>Worksheet!H23</f>
        <v>23</v>
      </c>
      <c r="I23" s="84">
        <f t="shared" si="1"/>
        <v>19</v>
      </c>
    </row>
    <row r="24" spans="1:18" s="8" customFormat="1" ht="24" customHeight="1" x14ac:dyDescent="0.4">
      <c r="A24" s="8" t="s">
        <v>40</v>
      </c>
      <c r="D24" s="18">
        <f>Worksheet!D24</f>
        <v>156</v>
      </c>
      <c r="E24" s="18">
        <f>Worksheet!E24</f>
        <v>1684</v>
      </c>
      <c r="F24" s="18">
        <f>Worksheet!F24</f>
        <v>594</v>
      </c>
      <c r="G24" s="18">
        <f>Worksheet!G24</f>
        <v>0</v>
      </c>
      <c r="H24" s="19">
        <f>Worksheet!H24</f>
        <v>2434</v>
      </c>
      <c r="I24" s="84">
        <f t="shared" si="1"/>
        <v>2278</v>
      </c>
      <c r="J24" s="18"/>
      <c r="K24" s="31"/>
      <c r="L24" s="31"/>
      <c r="M24" s="4"/>
      <c r="N24" s="4"/>
      <c r="O24" s="4"/>
      <c r="P24" s="4"/>
      <c r="Q24" s="4"/>
      <c r="R24" s="4"/>
    </row>
    <row r="25" spans="1:18" s="8" customFormat="1" ht="22.5" customHeight="1" x14ac:dyDescent="0.4">
      <c r="A25" s="8" t="s">
        <v>30</v>
      </c>
      <c r="D25" s="18">
        <f>Worksheet!D25</f>
        <v>0</v>
      </c>
      <c r="E25" s="18">
        <f>Worksheet!E25</f>
        <v>1</v>
      </c>
      <c r="F25" s="18">
        <f>Worksheet!F25</f>
        <v>1</v>
      </c>
      <c r="G25" s="18">
        <f>Worksheet!G25</f>
        <v>0</v>
      </c>
      <c r="H25" s="19">
        <f>Worksheet!H25</f>
        <v>2</v>
      </c>
      <c r="I25" s="84">
        <f t="shared" si="1"/>
        <v>2</v>
      </c>
      <c r="K25" s="4"/>
      <c r="L25" s="4"/>
      <c r="M25" s="4"/>
      <c r="N25" s="4"/>
      <c r="O25" s="4"/>
      <c r="P25" s="4"/>
      <c r="Q25" s="4"/>
      <c r="R25" s="4"/>
    </row>
    <row r="26" spans="1:18" s="8" customFormat="1" ht="21.75" customHeight="1" x14ac:dyDescent="0.4">
      <c r="A26" s="8" t="s">
        <v>16</v>
      </c>
      <c r="D26" s="18">
        <f>Worksheet!D26</f>
        <v>4</v>
      </c>
      <c r="E26" s="18">
        <f>Worksheet!E26</f>
        <v>15</v>
      </c>
      <c r="F26" s="18">
        <f>Worksheet!F26</f>
        <v>5</v>
      </c>
      <c r="G26" s="18">
        <f>Worksheet!G26</f>
        <v>0</v>
      </c>
      <c r="H26" s="19">
        <f>Worksheet!H26</f>
        <v>24</v>
      </c>
      <c r="I26" s="84">
        <f t="shared" si="1"/>
        <v>20</v>
      </c>
      <c r="J26" s="18"/>
      <c r="K26" s="31"/>
      <c r="L26" s="85"/>
      <c r="M26" s="4"/>
      <c r="N26" s="4"/>
      <c r="O26" s="4"/>
      <c r="P26" s="4"/>
      <c r="Q26" s="4"/>
      <c r="R26" s="4"/>
    </row>
    <row r="27" spans="1:18" ht="24" customHeight="1" x14ac:dyDescent="0.4">
      <c r="A27" s="29" t="s">
        <v>41</v>
      </c>
      <c r="B27" s="8"/>
      <c r="C27" s="8"/>
      <c r="D27" s="18">
        <f>Worksheet!D27</f>
        <v>10</v>
      </c>
      <c r="E27" s="18">
        <f>Worksheet!E27</f>
        <v>440</v>
      </c>
      <c r="F27" s="18">
        <f>Worksheet!F27</f>
        <v>275</v>
      </c>
      <c r="G27" s="18">
        <f>Worksheet!G27</f>
        <v>6</v>
      </c>
      <c r="H27" s="19">
        <f>Worksheet!H27</f>
        <v>731</v>
      </c>
      <c r="I27" s="84">
        <f t="shared" si="1"/>
        <v>721</v>
      </c>
      <c r="J27" s="28"/>
      <c r="K27" s="31"/>
      <c r="L27" s="85"/>
    </row>
    <row r="28" spans="1:18" ht="21.75" customHeight="1" thickBot="1" x14ac:dyDescent="0.45">
      <c r="A28" s="8"/>
      <c r="B28" s="8"/>
      <c r="C28" s="8"/>
      <c r="D28" s="8"/>
      <c r="E28" s="8"/>
      <c r="F28" s="8"/>
      <c r="G28" s="24"/>
      <c r="H28" s="30"/>
    </row>
    <row r="29" spans="1:18" ht="21.75" customHeight="1" thickTop="1" x14ac:dyDescent="0.4">
      <c r="A29" s="26" t="s">
        <v>12</v>
      </c>
      <c r="B29" s="26"/>
      <c r="C29" s="26"/>
      <c r="D29" s="27">
        <f t="shared" ref="D29:G29" si="2">SUM(D19:D27)</f>
        <v>1948</v>
      </c>
      <c r="E29" s="27">
        <f t="shared" si="2"/>
        <v>14061</v>
      </c>
      <c r="F29" s="27">
        <f t="shared" si="2"/>
        <v>7914</v>
      </c>
      <c r="G29" s="27">
        <f t="shared" si="2"/>
        <v>174</v>
      </c>
      <c r="H29" s="19">
        <f>SUM(H19:H27)</f>
        <v>24097</v>
      </c>
      <c r="I29" s="84">
        <f>+H29-D29</f>
        <v>22149</v>
      </c>
      <c r="J29" s="19"/>
      <c r="K29" s="20"/>
      <c r="L29" s="85"/>
    </row>
    <row r="30" spans="1:18" ht="21.75" customHeight="1" x14ac:dyDescent="0.4">
      <c r="A30" s="10"/>
      <c r="B30" s="10"/>
      <c r="C30" s="10"/>
      <c r="D30" s="34"/>
      <c r="E30" s="34"/>
      <c r="F30" s="34"/>
      <c r="G30" s="34"/>
      <c r="H30" s="19"/>
    </row>
    <row r="31" spans="1:18" ht="21.75" customHeight="1" x14ac:dyDescent="0.4">
      <c r="A31" s="8"/>
      <c r="B31" s="8"/>
      <c r="C31" s="8"/>
      <c r="D31" s="8"/>
      <c r="E31" s="8"/>
      <c r="F31" s="8"/>
      <c r="G31" s="8"/>
      <c r="H31" s="9"/>
      <c r="N31" s="5"/>
      <c r="O31" s="5"/>
    </row>
    <row r="32" spans="1:18" ht="21.75" customHeight="1" x14ac:dyDescent="0.4">
      <c r="A32" s="9" t="s">
        <v>17</v>
      </c>
      <c r="B32" s="9"/>
      <c r="C32" s="9"/>
      <c r="D32" s="19">
        <f>SUM(D15+D29)</f>
        <v>2022</v>
      </c>
      <c r="E32" s="19">
        <f>SUM(E15+E29)</f>
        <v>17163</v>
      </c>
      <c r="F32" s="19">
        <f>SUM(F15+F29)</f>
        <v>9884</v>
      </c>
      <c r="G32" s="19">
        <f>SUM(G15+G29)</f>
        <v>245</v>
      </c>
      <c r="H32" s="19">
        <f>SUM(H15+H29)</f>
        <v>29314</v>
      </c>
      <c r="I32" s="84">
        <f>+H32-D32</f>
        <v>27292</v>
      </c>
      <c r="J32" s="19"/>
      <c r="K32" s="20"/>
      <c r="L32" s="85"/>
      <c r="M32" s="87"/>
      <c r="N32" s="88"/>
      <c r="O32" s="82"/>
    </row>
    <row r="33" spans="1:14" ht="21.75" customHeight="1" x14ac:dyDescent="0.4">
      <c r="A33" s="8" t="s">
        <v>18</v>
      </c>
      <c r="B33" s="8"/>
      <c r="C33" s="8"/>
      <c r="D33" s="36">
        <f>(D32/H32)</f>
        <v>6.8977280480316566E-2</v>
      </c>
      <c r="E33" s="36">
        <f>(E32/H32)</f>
        <v>0.58548816265265746</v>
      </c>
      <c r="F33" s="36">
        <f>(F32/H32)</f>
        <v>0.33717677560210141</v>
      </c>
      <c r="G33" s="36">
        <f>(G32/H32)</f>
        <v>8.3577812649246099E-3</v>
      </c>
      <c r="H33" s="19"/>
      <c r="N33" s="31"/>
    </row>
    <row r="34" spans="1:14" ht="21.75" customHeight="1" x14ac:dyDescent="0.4">
      <c r="A34" s="29"/>
      <c r="B34" s="8"/>
      <c r="C34" s="8"/>
      <c r="D34" s="8"/>
      <c r="E34" s="8"/>
      <c r="F34" s="8"/>
      <c r="G34" s="8"/>
      <c r="H34" s="9"/>
    </row>
    <row r="35" spans="1:14" ht="21.75" customHeight="1" x14ac:dyDescent="0.4">
      <c r="A35" s="37" t="s">
        <v>19</v>
      </c>
      <c r="B35" s="9"/>
      <c r="C35" s="9"/>
      <c r="D35" s="19">
        <f>(D32-(+D6+D7+D8))</f>
        <v>2013</v>
      </c>
      <c r="E35" s="19">
        <f>(E32-(+E6+E7+E8))</f>
        <v>16873</v>
      </c>
      <c r="F35" s="19">
        <f>(F32-(+F6+F7+F8))</f>
        <v>9671</v>
      </c>
      <c r="G35" s="19">
        <f>(G32-(+G6+G7+G8))</f>
        <v>215</v>
      </c>
      <c r="H35" s="19">
        <f>(H32-(H6+H7+H8))</f>
        <v>28772</v>
      </c>
      <c r="I35" s="84">
        <f>+H35-D35</f>
        <v>26759</v>
      </c>
      <c r="J35" s="19"/>
      <c r="K35" s="20"/>
    </row>
    <row r="36" spans="1:14" ht="21.75" customHeight="1" x14ac:dyDescent="0.4">
      <c r="A36" s="8" t="s">
        <v>18</v>
      </c>
      <c r="B36" s="8"/>
      <c r="C36" s="8"/>
      <c r="D36" s="36">
        <f>(D35/H35)</f>
        <v>6.9963853746698182E-2</v>
      </c>
      <c r="E36" s="36">
        <f>(E35/H35)</f>
        <v>0.58643820380925904</v>
      </c>
      <c r="F36" s="36">
        <f>(F35/H35)</f>
        <v>0.33612539969414706</v>
      </c>
      <c r="G36" s="36">
        <f>(G35/H35)</f>
        <v>7.4725427498957319E-3</v>
      </c>
      <c r="H36" s="9"/>
    </row>
    <row r="37" spans="1:14" ht="21.75" customHeight="1" x14ac:dyDescent="0.4">
      <c r="A37" s="29"/>
      <c r="B37" s="8"/>
      <c r="C37" s="8"/>
      <c r="D37" s="8"/>
      <c r="E37" s="8"/>
      <c r="F37" s="8"/>
      <c r="G37" s="8"/>
      <c r="H37" s="9"/>
    </row>
    <row r="38" spans="1:14" ht="21.75" customHeight="1" x14ac:dyDescent="0.4">
      <c r="A38" s="9" t="s">
        <v>20</v>
      </c>
      <c r="B38" s="9"/>
      <c r="C38" s="9"/>
      <c r="D38" s="19">
        <f>(D11+D21+D22+D23+D24+D25+D26+D12)</f>
        <v>203</v>
      </c>
      <c r="E38" s="19">
        <f>(E11+E21+E22+E23+E24+E25+E26+E12)</f>
        <v>1840</v>
      </c>
      <c r="F38" s="19">
        <f>(F11+F21+F22+F23+F24+F25+F26+F12)</f>
        <v>649</v>
      </c>
      <c r="G38" s="19">
        <f>(G11+G21+G23+G24+G25+G26+G12+G22)</f>
        <v>0</v>
      </c>
      <c r="H38" s="19">
        <f>(H11+H21+H23+H24+H26+H25+H12+H22)</f>
        <v>2692</v>
      </c>
      <c r="I38" s="84">
        <f>+H38-D38</f>
        <v>2489</v>
      </c>
      <c r="J38" s="19"/>
      <c r="K38" s="20"/>
    </row>
    <row r="39" spans="1:14" ht="21.75" customHeight="1" x14ac:dyDescent="0.4">
      <c r="A39" s="8" t="s">
        <v>18</v>
      </c>
      <c r="B39" s="8"/>
      <c r="C39" s="8"/>
      <c r="D39" s="36">
        <f>(D38/H38)</f>
        <v>7.5408618127786028E-2</v>
      </c>
      <c r="E39" s="36">
        <f>(E38/H38)</f>
        <v>0.68350668647845469</v>
      </c>
      <c r="F39" s="36">
        <f>(F38/H38)</f>
        <v>0.24108469539375929</v>
      </c>
      <c r="G39" s="36">
        <f>(G38/H38)</f>
        <v>0</v>
      </c>
      <c r="H39" s="36"/>
      <c r="I39" s="36"/>
      <c r="J39" s="36"/>
      <c r="K39" s="89"/>
    </row>
    <row r="40" spans="1:14" ht="21.75" customHeight="1" x14ac:dyDescent="0.4">
      <c r="A40" s="8"/>
      <c r="B40" s="8"/>
      <c r="C40" s="8"/>
      <c r="D40" s="36"/>
      <c r="E40" s="36"/>
      <c r="F40" s="36"/>
      <c r="G40" s="36"/>
      <c r="H40" s="9"/>
    </row>
    <row r="41" spans="1:14" ht="21.75" customHeight="1" x14ac:dyDescent="0.4">
      <c r="A41" s="8"/>
      <c r="B41" s="8"/>
      <c r="C41" s="8"/>
      <c r="D41" s="36"/>
      <c r="E41" s="36"/>
      <c r="F41" s="36"/>
      <c r="G41" s="36"/>
      <c r="H41" s="9"/>
    </row>
    <row r="42" spans="1:14" ht="21.75" customHeight="1" x14ac:dyDescent="0.4">
      <c r="A42" s="8" t="s">
        <v>103</v>
      </c>
      <c r="B42" s="8"/>
      <c r="C42" s="8"/>
      <c r="D42" s="8"/>
      <c r="E42" s="8"/>
      <c r="H42" s="18">
        <f>'Hatchery-Wild Breakdown'!I44</f>
        <v>73.044894664077589</v>
      </c>
      <c r="I42" s="19"/>
      <c r="J42" s="19"/>
      <c r="K42" s="20"/>
    </row>
    <row r="43" spans="1:14" ht="21.75" customHeight="1" x14ac:dyDescent="0.4">
      <c r="A43" s="8" t="s">
        <v>104</v>
      </c>
      <c r="B43" s="8"/>
      <c r="C43" s="8"/>
      <c r="D43" s="8"/>
      <c r="E43" s="8"/>
      <c r="H43" s="18">
        <f>'Hatchery-Wild Breakdown'!J44</f>
        <v>53.681336696000926</v>
      </c>
    </row>
    <row r="44" spans="1:14" ht="21.75" customHeight="1" x14ac:dyDescent="0.4">
      <c r="I44" s="19"/>
      <c r="J44" s="19"/>
      <c r="K44" s="20"/>
    </row>
    <row r="45" spans="1:14" ht="21.75" customHeight="1" x14ac:dyDescent="0.4">
      <c r="A45" s="7" t="s">
        <v>105</v>
      </c>
      <c r="H45" s="71">
        <f>H38+H42+H43</f>
        <v>2818.7262313600786</v>
      </c>
    </row>
    <row r="46" spans="1:14" ht="21.75" customHeight="1" x14ac:dyDescent="0.4">
      <c r="A46" s="29"/>
      <c r="B46" s="8"/>
      <c r="C46" s="8"/>
      <c r="D46" s="8"/>
      <c r="E46" s="8"/>
      <c r="F46" s="8"/>
      <c r="G46" s="8"/>
      <c r="H46" s="8"/>
    </row>
    <row r="47" spans="1:14" ht="21.75" customHeight="1" x14ac:dyDescent="0.4">
      <c r="A47" s="13" t="s">
        <v>22</v>
      </c>
      <c r="B47" s="13"/>
      <c r="C47" s="13"/>
      <c r="D47" s="13"/>
      <c r="E47" s="13"/>
      <c r="F47" s="13"/>
      <c r="G47" s="13"/>
      <c r="H47" s="13"/>
    </row>
    <row r="48" spans="1:14" ht="21.75" customHeight="1" x14ac:dyDescent="0.4">
      <c r="A48" s="8" t="s">
        <v>7</v>
      </c>
      <c r="B48" s="8"/>
      <c r="C48" s="8"/>
      <c r="D48" s="38">
        <f>Worksheet!D48</f>
        <v>1.2200000000000001E-2</v>
      </c>
      <c r="E48" s="38">
        <f>Worksheet!E48</f>
        <v>0.4924</v>
      </c>
      <c r="F48" s="38">
        <f>Worksheet!F48</f>
        <v>0.4042</v>
      </c>
      <c r="G48" s="38">
        <f>Worksheet!G48</f>
        <v>9.1200000000000003E-2</v>
      </c>
      <c r="H48" s="38">
        <f t="shared" ref="H48:H50" si="3">SUM(D48:G48)</f>
        <v>1</v>
      </c>
    </row>
    <row r="49" spans="1:11" ht="21.75" customHeight="1" x14ac:dyDescent="0.4">
      <c r="A49" s="8" t="s">
        <v>8</v>
      </c>
      <c r="B49" s="8"/>
      <c r="C49" s="8"/>
      <c r="D49" s="38">
        <f>Worksheet!D49</f>
        <v>2.487E-2</v>
      </c>
      <c r="E49" s="38">
        <f>Worksheet!E49</f>
        <v>0.60199000000000003</v>
      </c>
      <c r="F49" s="38">
        <f>Worksheet!F49</f>
        <v>0.37313000000000002</v>
      </c>
      <c r="G49" s="38">
        <f>Worksheet!G49</f>
        <v>0</v>
      </c>
      <c r="H49" s="38">
        <f t="shared" si="3"/>
        <v>0.99998999999999993</v>
      </c>
    </row>
    <row r="50" spans="1:11" ht="21.75" customHeight="1" x14ac:dyDescent="0.4">
      <c r="A50" s="8" t="s">
        <v>23</v>
      </c>
      <c r="B50" s="8"/>
      <c r="C50" s="8"/>
      <c r="D50" s="38">
        <f>Worksheet!D50</f>
        <v>0</v>
      </c>
      <c r="E50" s="38">
        <f>Worksheet!E50</f>
        <v>0.58330000000000004</v>
      </c>
      <c r="F50" s="38">
        <f>Worksheet!F50</f>
        <v>0.41670000000000001</v>
      </c>
      <c r="G50" s="38">
        <f>Worksheet!G50</f>
        <v>0</v>
      </c>
      <c r="H50" s="38">
        <f t="shared" si="3"/>
        <v>1</v>
      </c>
    </row>
    <row r="51" spans="1:11" ht="24" customHeight="1" x14ac:dyDescent="0.4">
      <c r="A51" s="8" t="s">
        <v>95</v>
      </c>
      <c r="B51" s="8"/>
      <c r="C51" s="8"/>
      <c r="D51" s="38">
        <f>Worksheet!D51</f>
        <v>1.4E-2</v>
      </c>
      <c r="E51" s="38">
        <f>Worksheet!E51</f>
        <v>0.60140000000000005</v>
      </c>
      <c r="F51" s="38">
        <f>Worksheet!F51</f>
        <v>0.37590000000000001</v>
      </c>
      <c r="G51" s="38">
        <f>Worksheet!G51</f>
        <v>8.6999999999999994E-3</v>
      </c>
      <c r="H51" s="38">
        <f>SUM(D51:G51)</f>
        <v>1</v>
      </c>
    </row>
    <row r="52" spans="1:11" ht="25.5" customHeight="1" x14ac:dyDescent="0.4">
      <c r="A52" s="8" t="s">
        <v>42</v>
      </c>
      <c r="B52" s="8"/>
      <c r="C52" s="8"/>
      <c r="D52" s="38">
        <f>Worksheet!D52</f>
        <v>1.4E-2</v>
      </c>
      <c r="E52" s="38">
        <f>Worksheet!E52</f>
        <v>0.60140000000000005</v>
      </c>
      <c r="F52" s="38">
        <f>Worksheet!F52</f>
        <v>0.37590000000000001</v>
      </c>
      <c r="G52" s="38">
        <f>Worksheet!G52</f>
        <v>8.6999999999999994E-3</v>
      </c>
      <c r="H52" s="38">
        <f>SUM(D52:G52)</f>
        <v>1</v>
      </c>
    </row>
    <row r="53" spans="1:11" ht="25.5" customHeight="1" x14ac:dyDescent="0.4">
      <c r="A53" s="8" t="s">
        <v>43</v>
      </c>
      <c r="B53" s="8"/>
      <c r="C53" s="8"/>
      <c r="D53" s="38">
        <f>Worksheet!D53</f>
        <v>0.18303571428571427</v>
      </c>
      <c r="E53" s="38">
        <f>Worksheet!E53</f>
        <v>0.59791666666666665</v>
      </c>
      <c r="F53" s="38">
        <f>Worksheet!F53</f>
        <v>0.21904761904761902</v>
      </c>
      <c r="G53" s="38">
        <f>Worksheet!G53</f>
        <v>0</v>
      </c>
      <c r="H53" s="38">
        <f t="shared" ref="H53:H55" si="4">SUM(D53:G53)</f>
        <v>1</v>
      </c>
      <c r="K53" s="7"/>
    </row>
    <row r="54" spans="1:11" ht="24" customHeight="1" x14ac:dyDescent="0.4">
      <c r="A54" s="8" t="s">
        <v>44</v>
      </c>
      <c r="B54" s="8"/>
      <c r="C54" s="8"/>
      <c r="D54" s="38">
        <f>Worksheet!D54</f>
        <v>0.18303571428571427</v>
      </c>
      <c r="E54" s="38">
        <f>Worksheet!E54</f>
        <v>0.59791666666666665</v>
      </c>
      <c r="F54" s="38">
        <f>Worksheet!F54</f>
        <v>0.21904761904761902</v>
      </c>
      <c r="G54" s="38">
        <f>Worksheet!G54</f>
        <v>0</v>
      </c>
      <c r="H54" s="38">
        <f t="shared" si="4"/>
        <v>1</v>
      </c>
    </row>
    <row r="55" spans="1:11" ht="24" customHeight="1" x14ac:dyDescent="0.4">
      <c r="A55" s="8" t="s">
        <v>97</v>
      </c>
      <c r="B55" s="8"/>
      <c r="C55" s="8"/>
      <c r="D55" s="38">
        <f>Worksheet!D55</f>
        <v>1.4E-2</v>
      </c>
      <c r="E55" s="38">
        <f>Worksheet!E55</f>
        <v>0.60140000000000005</v>
      </c>
      <c r="F55" s="38">
        <f>Worksheet!F55</f>
        <v>0.37590000000000001</v>
      </c>
      <c r="G55" s="38">
        <f>Worksheet!G55</f>
        <v>8.6999999999999994E-3</v>
      </c>
      <c r="H55" s="38">
        <f t="shared" si="4"/>
        <v>1</v>
      </c>
    </row>
    <row r="56" spans="1:11" ht="24.75" customHeight="1" x14ac:dyDescent="0.4">
      <c r="A56" s="8" t="s">
        <v>45</v>
      </c>
      <c r="B56" s="8"/>
      <c r="C56" s="8"/>
      <c r="D56" s="38">
        <f>Worksheet!D56</f>
        <v>8.4099999999999994E-2</v>
      </c>
      <c r="E56" s="38">
        <f>Worksheet!E56</f>
        <v>0.56979999999999997</v>
      </c>
      <c r="F56" s="38">
        <f>Worksheet!F56</f>
        <v>0.33800000000000002</v>
      </c>
      <c r="G56" s="38">
        <f>Worksheet!G56</f>
        <v>8.0999999999999996E-3</v>
      </c>
      <c r="H56" s="38">
        <f>SUM(D56:G56)</f>
        <v>1</v>
      </c>
    </row>
    <row r="57" spans="1:11" ht="24.75" customHeight="1" x14ac:dyDescent="0.4">
      <c r="A57" s="8" t="s">
        <v>46</v>
      </c>
      <c r="B57" s="8"/>
      <c r="C57" s="8"/>
      <c r="D57" s="38">
        <f>Worksheet!D57</f>
        <v>1.4E-2</v>
      </c>
      <c r="E57" s="38">
        <f>Worksheet!E57</f>
        <v>0.60140000000000005</v>
      </c>
      <c r="F57" s="38">
        <f>Worksheet!F57</f>
        <v>0.37590000000000001</v>
      </c>
      <c r="G57" s="38">
        <f>Worksheet!G57</f>
        <v>8.6999999999999994E-3</v>
      </c>
      <c r="H57" s="38">
        <f>SUM(D57:G57)</f>
        <v>1</v>
      </c>
    </row>
    <row r="58" spans="1:11" ht="27" customHeight="1" x14ac:dyDescent="0.4">
      <c r="A58" s="8" t="s">
        <v>38</v>
      </c>
      <c r="B58" s="8"/>
      <c r="C58" s="8"/>
      <c r="D58" s="38">
        <f>Worksheet!D58</f>
        <v>0.22220000000000001</v>
      </c>
      <c r="E58" s="38">
        <f>Worksheet!E58</f>
        <v>0.57520000000000004</v>
      </c>
      <c r="F58" s="38">
        <f>Worksheet!F58</f>
        <v>0.2026</v>
      </c>
      <c r="G58" s="38">
        <f>Worksheet!G58</f>
        <v>0</v>
      </c>
      <c r="H58" s="38">
        <f t="shared" ref="H58:H63" si="5">SUM(D58:G58)</f>
        <v>1</v>
      </c>
    </row>
    <row r="59" spans="1:11" ht="25.5" customHeight="1" x14ac:dyDescent="0.4">
      <c r="A59" s="8" t="s">
        <v>76</v>
      </c>
      <c r="B59" s="8"/>
      <c r="C59" s="8"/>
      <c r="D59" s="38">
        <f>Worksheet!D59</f>
        <v>9.0899999999999995E-2</v>
      </c>
      <c r="E59" s="38">
        <f>Worksheet!E59</f>
        <v>0.67269999999999996</v>
      </c>
      <c r="F59" s="38">
        <f>Worksheet!F59</f>
        <v>0.2364</v>
      </c>
      <c r="G59" s="38">
        <f>Worksheet!G59</f>
        <v>0</v>
      </c>
      <c r="H59" s="38">
        <f t="shared" si="5"/>
        <v>1</v>
      </c>
    </row>
    <row r="60" spans="1:11" ht="24" customHeight="1" x14ac:dyDescent="0.4">
      <c r="A60" s="8" t="s">
        <v>47</v>
      </c>
      <c r="B60" s="8"/>
      <c r="C60" s="8"/>
      <c r="D60" s="38">
        <f>Worksheet!D60</f>
        <v>0.1739</v>
      </c>
      <c r="E60" s="38">
        <f>Worksheet!E60</f>
        <v>0.60580000000000001</v>
      </c>
      <c r="F60" s="38">
        <f>Worksheet!F60</f>
        <v>0.2203</v>
      </c>
      <c r="G60" s="38">
        <f>Worksheet!G60</f>
        <v>0</v>
      </c>
      <c r="H60" s="38">
        <f t="shared" si="5"/>
        <v>1</v>
      </c>
    </row>
    <row r="61" spans="1:11" ht="24" customHeight="1" x14ac:dyDescent="0.4">
      <c r="A61" s="8" t="s">
        <v>48</v>
      </c>
      <c r="B61" s="8"/>
      <c r="C61" s="8"/>
      <c r="D61" s="38">
        <f>Worksheet!D61</f>
        <v>6.4100000000000004E-2</v>
      </c>
      <c r="E61" s="38">
        <f>Worksheet!E61</f>
        <v>0.69189999999999996</v>
      </c>
      <c r="F61" s="38">
        <f>Worksheet!F61</f>
        <v>0.24399999999999999</v>
      </c>
      <c r="G61" s="38">
        <f>Worksheet!G61</f>
        <v>0</v>
      </c>
      <c r="H61" s="38">
        <f t="shared" si="5"/>
        <v>1</v>
      </c>
    </row>
    <row r="62" spans="1:11" ht="24" customHeight="1" x14ac:dyDescent="0.4">
      <c r="A62" s="8" t="s">
        <v>77</v>
      </c>
      <c r="B62" s="8"/>
      <c r="C62" s="8"/>
      <c r="D62" s="38">
        <f>Worksheet!D62</f>
        <v>0.18609999999999999</v>
      </c>
      <c r="E62" s="38">
        <f>Worksheet!E62</f>
        <v>0.60150000000000003</v>
      </c>
      <c r="F62" s="38">
        <f>Worksheet!F62</f>
        <v>0.21240000000000001</v>
      </c>
      <c r="G62" s="38">
        <f>Worksheet!G62</f>
        <v>0</v>
      </c>
      <c r="H62" s="38">
        <f t="shared" si="5"/>
        <v>1</v>
      </c>
    </row>
    <row r="63" spans="1:11" ht="27" customHeight="1" x14ac:dyDescent="0.4">
      <c r="A63" s="8" t="s">
        <v>49</v>
      </c>
      <c r="B63" s="8"/>
      <c r="C63" s="8"/>
      <c r="D63" s="38">
        <f>Worksheet!D63</f>
        <v>0.18609999999999999</v>
      </c>
      <c r="E63" s="38">
        <f>Worksheet!E63</f>
        <v>0.60150000000000003</v>
      </c>
      <c r="F63" s="38">
        <f>Worksheet!F63</f>
        <v>0.21240000000000001</v>
      </c>
      <c r="G63" s="38">
        <f>Worksheet!G63</f>
        <v>0</v>
      </c>
      <c r="H63" s="38">
        <f t="shared" si="5"/>
        <v>1</v>
      </c>
    </row>
    <row r="64" spans="1:11" ht="26.25" customHeight="1" x14ac:dyDescent="0.4">
      <c r="A64" s="29" t="s">
        <v>50</v>
      </c>
      <c r="B64" s="8"/>
      <c r="C64" s="8"/>
      <c r="D64" s="38">
        <f>Worksheet!D64</f>
        <v>1.4E-2</v>
      </c>
      <c r="E64" s="38">
        <f>Worksheet!E64</f>
        <v>0.60140000000000005</v>
      </c>
      <c r="F64" s="38">
        <f>Worksheet!F64</f>
        <v>0.37590000000000001</v>
      </c>
      <c r="G64" s="38">
        <f>Worksheet!G64</f>
        <v>8.6999999999999994E-3</v>
      </c>
      <c r="H64" s="38">
        <f>SUM(D64:G64)</f>
        <v>1</v>
      </c>
    </row>
    <row r="65" spans="1:8" ht="21.75" customHeight="1" x14ac:dyDescent="0.4">
      <c r="A65" s="29"/>
      <c r="B65" s="8"/>
      <c r="C65" s="8"/>
      <c r="D65" s="40"/>
      <c r="E65" s="40"/>
      <c r="F65" s="40"/>
      <c r="G65" s="41"/>
      <c r="H65" s="38"/>
    </row>
    <row r="66" spans="1:8" ht="21.75" customHeight="1" x14ac:dyDescent="0.4"/>
    <row r="67" spans="1:8" ht="24" customHeight="1" x14ac:dyDescent="0.4">
      <c r="A67" s="42"/>
      <c r="B67" s="8"/>
      <c r="C67" s="8"/>
      <c r="D67" s="8"/>
      <c r="E67" s="8"/>
      <c r="F67" s="8"/>
      <c r="G67" s="8"/>
      <c r="H67" s="8"/>
    </row>
    <row r="68" spans="1:8" ht="24" customHeight="1" x14ac:dyDescent="0.4">
      <c r="A68" s="42"/>
      <c r="B68" s="8"/>
      <c r="C68" s="8"/>
      <c r="D68" s="8"/>
      <c r="E68" s="8"/>
      <c r="F68" s="8"/>
      <c r="G68" s="38"/>
      <c r="H68" s="8"/>
    </row>
    <row r="69" spans="1:8" ht="24" customHeight="1" x14ac:dyDescent="0.4">
      <c r="A69" s="42"/>
      <c r="B69" s="8"/>
      <c r="C69" s="8"/>
      <c r="D69" s="8"/>
      <c r="E69" s="8"/>
      <c r="F69" s="8"/>
      <c r="G69" s="8"/>
      <c r="H69" s="8"/>
    </row>
    <row r="70" spans="1:8" ht="25.5" customHeight="1" x14ac:dyDescent="0.4">
      <c r="A70" s="42"/>
      <c r="B70" s="8"/>
      <c r="C70" s="8"/>
      <c r="D70" s="8"/>
      <c r="E70" s="8"/>
      <c r="F70" s="8"/>
      <c r="G70" s="8"/>
      <c r="H70" s="8"/>
    </row>
    <row r="71" spans="1:8" ht="24" customHeight="1" x14ac:dyDescent="0.4">
      <c r="A71" s="42"/>
      <c r="B71" s="8"/>
      <c r="C71" s="8"/>
      <c r="D71" s="8"/>
      <c r="E71" s="8"/>
      <c r="F71" s="8"/>
      <c r="G71" s="8"/>
      <c r="H71" s="8"/>
    </row>
    <row r="72" spans="1:8" ht="25.5" customHeight="1" x14ac:dyDescent="0.4">
      <c r="A72" s="42"/>
      <c r="B72" s="8"/>
      <c r="C72" s="8"/>
      <c r="D72" s="8"/>
      <c r="E72" s="8"/>
      <c r="F72" s="8"/>
      <c r="G72" s="8"/>
      <c r="H72" s="8"/>
    </row>
    <row r="73" spans="1:8" ht="24" customHeight="1" x14ac:dyDescent="0.4">
      <c r="A73" s="42"/>
    </row>
    <row r="74" spans="1:8" ht="21.75" customHeight="1" x14ac:dyDescent="0.4">
      <c r="A74" s="8"/>
      <c r="B74" s="8"/>
      <c r="C74" s="8"/>
      <c r="D74" s="8"/>
      <c r="E74" s="8"/>
      <c r="F74" s="8"/>
      <c r="G74" s="8"/>
      <c r="H74" s="8"/>
    </row>
    <row r="75" spans="1:8" ht="21.75" customHeight="1" x14ac:dyDescent="0.4">
      <c r="A75" s="8"/>
      <c r="B75" s="8"/>
      <c r="C75" s="8"/>
      <c r="D75" s="8"/>
      <c r="E75" s="8"/>
      <c r="F75" s="8"/>
      <c r="G75" s="8"/>
      <c r="H75" s="8"/>
    </row>
    <row r="76" spans="1:8" ht="21.75" customHeight="1" x14ac:dyDescent="0.4"/>
    <row r="77" spans="1:8" ht="21.75" customHeight="1" x14ac:dyDescent="0.4"/>
    <row r="78" spans="1:8" ht="21.75" customHeight="1" x14ac:dyDescent="0.4"/>
    <row r="79" spans="1:8" ht="21.75" customHeight="1" x14ac:dyDescent="0.4"/>
    <row r="80" spans="1:8" ht="21.75" customHeight="1" x14ac:dyDescent="0.4"/>
    <row r="81" spans="1:8" ht="21.75" customHeight="1" x14ac:dyDescent="0.4"/>
    <row r="82" spans="1:8" ht="21.75" customHeight="1" x14ac:dyDescent="0.4">
      <c r="A82" s="6"/>
      <c r="B82" s="95"/>
      <c r="C82" s="95"/>
      <c r="D82" s="95"/>
      <c r="E82" s="95"/>
      <c r="F82" s="6"/>
      <c r="G82" s="6"/>
      <c r="H82" s="53"/>
    </row>
    <row r="83" spans="1:8" ht="21.75" customHeight="1" x14ac:dyDescent="0.4">
      <c r="A83" s="6"/>
      <c r="B83" s="6"/>
      <c r="C83" s="44"/>
      <c r="D83" s="45"/>
      <c r="E83" s="45"/>
      <c r="F83" s="6"/>
      <c r="G83" s="6"/>
      <c r="H83" s="6"/>
    </row>
    <row r="84" spans="1:8" ht="21.75" customHeight="1" x14ac:dyDescent="0.4">
      <c r="A84" s="6"/>
      <c r="B84" s="6"/>
      <c r="C84" s="46"/>
      <c r="D84" s="45"/>
      <c r="E84" s="6"/>
      <c r="F84" s="6"/>
      <c r="G84" s="6"/>
      <c r="H84" s="6"/>
    </row>
    <row r="85" spans="1:8" ht="21.75" customHeight="1" x14ac:dyDescent="0.4">
      <c r="A85" s="6"/>
      <c r="B85" s="6"/>
      <c r="C85" s="46"/>
      <c r="D85" s="45"/>
      <c r="E85" s="6"/>
      <c r="F85" s="6"/>
      <c r="G85" s="6"/>
      <c r="H85" s="6"/>
    </row>
    <row r="86" spans="1:8" ht="21.75" customHeight="1" x14ac:dyDescent="0.4">
      <c r="A86" s="6"/>
      <c r="B86" s="6"/>
      <c r="C86" s="46"/>
      <c r="D86" s="45"/>
      <c r="E86" s="6"/>
      <c r="F86" s="6"/>
      <c r="G86" s="6"/>
      <c r="H86" s="6"/>
    </row>
    <row r="87" spans="1:8" ht="21.75" customHeight="1" x14ac:dyDescent="0.4">
      <c r="A87" s="6"/>
      <c r="B87" s="6"/>
      <c r="C87" s="46"/>
      <c r="D87" s="45"/>
      <c r="E87" s="6"/>
      <c r="F87" s="6"/>
      <c r="G87" s="6"/>
      <c r="H87" s="6"/>
    </row>
    <row r="88" spans="1:8" ht="21.75" customHeight="1" x14ac:dyDescent="0.4">
      <c r="A88" s="6"/>
      <c r="B88" s="6"/>
      <c r="C88" s="46"/>
      <c r="D88" s="45"/>
      <c r="E88" s="41"/>
      <c r="F88" s="6"/>
      <c r="G88" s="6"/>
      <c r="H88" s="6"/>
    </row>
    <row r="89" spans="1:8" ht="21.75" customHeight="1" x14ac:dyDescent="0.4">
      <c r="A89" s="6"/>
      <c r="B89" s="6"/>
      <c r="C89" s="6"/>
      <c r="D89" s="6"/>
      <c r="E89" s="6"/>
      <c r="F89" s="6"/>
      <c r="G89" s="6"/>
    </row>
    <row r="90" spans="1:8" ht="21.75" customHeight="1" x14ac:dyDescent="0.4">
      <c r="A90" s="6"/>
      <c r="B90" s="47"/>
      <c r="C90" s="47"/>
      <c r="D90" s="47"/>
      <c r="E90" s="47"/>
      <c r="F90" s="6"/>
      <c r="G90" s="6"/>
    </row>
    <row r="91" spans="1:8" ht="21.75" customHeight="1" x14ac:dyDescent="0.4">
      <c r="A91" s="6"/>
      <c r="B91" s="6"/>
      <c r="C91" s="44"/>
      <c r="D91" s="45"/>
      <c r="E91" s="45"/>
      <c r="F91" s="6"/>
      <c r="G91" s="6"/>
    </row>
    <row r="92" spans="1:8" ht="21.75" customHeight="1" x14ac:dyDescent="0.4">
      <c r="A92" s="6"/>
      <c r="B92" s="6"/>
      <c r="C92" s="46"/>
      <c r="D92" s="45"/>
      <c r="E92" s="41"/>
      <c r="F92" s="41"/>
      <c r="G92" s="6"/>
    </row>
    <row r="93" spans="1:8" ht="21.75" customHeight="1" x14ac:dyDescent="0.4">
      <c r="A93" s="6"/>
      <c r="B93" s="6"/>
      <c r="C93" s="46"/>
      <c r="D93" s="45"/>
      <c r="E93" s="41"/>
      <c r="F93" s="41"/>
      <c r="G93" s="6"/>
    </row>
    <row r="94" spans="1:8" ht="21.75" customHeight="1" x14ac:dyDescent="0.4">
      <c r="A94" s="6"/>
      <c r="B94" s="6"/>
      <c r="C94" s="46"/>
      <c r="D94" s="45"/>
      <c r="E94" s="41"/>
      <c r="F94" s="41"/>
      <c r="G94" s="6"/>
    </row>
    <row r="95" spans="1:8" ht="21.75" customHeight="1" x14ac:dyDescent="0.4">
      <c r="A95" s="6"/>
      <c r="B95" s="6"/>
      <c r="C95" s="46"/>
      <c r="D95" s="45"/>
      <c r="E95" s="41"/>
      <c r="F95" s="41"/>
      <c r="G95" s="6"/>
    </row>
    <row r="96" spans="1:8" ht="21.75" customHeight="1" x14ac:dyDescent="0.4">
      <c r="A96" s="6"/>
      <c r="B96" s="6"/>
      <c r="C96" s="46"/>
      <c r="D96" s="45"/>
      <c r="E96" s="41"/>
      <c r="F96" s="48"/>
      <c r="G96" s="6"/>
    </row>
    <row r="97" spans="1:8" ht="21.75" customHeight="1" x14ac:dyDescent="0.4">
      <c r="A97" s="6"/>
      <c r="B97" s="6"/>
      <c r="C97" s="6"/>
      <c r="D97" s="6"/>
      <c r="E97" s="6"/>
      <c r="F97" s="6"/>
      <c r="G97" s="6"/>
    </row>
    <row r="98" spans="1:8" ht="21.75" customHeight="1" x14ac:dyDescent="0.4">
      <c r="A98" s="6"/>
      <c r="B98" s="6"/>
      <c r="C98" s="6"/>
      <c r="D98" s="6"/>
      <c r="E98" s="6"/>
      <c r="F98" s="6"/>
      <c r="G98" s="6"/>
    </row>
    <row r="99" spans="1:8" ht="21.75" customHeight="1" x14ac:dyDescent="0.4">
      <c r="A99" s="6"/>
      <c r="B99" s="6"/>
      <c r="C99" s="6"/>
      <c r="D99" s="6"/>
      <c r="E99" s="6"/>
      <c r="F99" s="6"/>
      <c r="G99" s="6"/>
    </row>
    <row r="100" spans="1:8" ht="21.75" customHeight="1" x14ac:dyDescent="0.4">
      <c r="A100" s="6"/>
      <c r="B100" s="6"/>
      <c r="C100" s="6"/>
      <c r="D100" s="6"/>
      <c r="E100" s="6"/>
      <c r="F100" s="6"/>
      <c r="G100" s="6"/>
    </row>
    <row r="101" spans="1:8" ht="21.75" customHeight="1" x14ac:dyDescent="0.4">
      <c r="A101" s="6"/>
      <c r="B101" s="6"/>
      <c r="C101" s="6"/>
      <c r="D101" s="6"/>
      <c r="E101" s="6"/>
      <c r="F101" s="6"/>
      <c r="G101" s="6"/>
    </row>
    <row r="102" spans="1:8" ht="21.75" customHeight="1" x14ac:dyDescent="0.4">
      <c r="A102" s="6"/>
      <c r="B102" s="6"/>
      <c r="C102" s="49"/>
      <c r="D102" s="49"/>
      <c r="E102" s="49"/>
      <c r="F102" s="49"/>
      <c r="G102" s="6"/>
    </row>
    <row r="103" spans="1:8" ht="21.75" customHeight="1" x14ac:dyDescent="0.4">
      <c r="A103" s="6"/>
      <c r="B103" s="6"/>
      <c r="C103" s="49"/>
      <c r="D103" s="49"/>
      <c r="E103" s="49"/>
      <c r="F103" s="49"/>
      <c r="G103" s="6"/>
    </row>
    <row r="104" spans="1:8" ht="21.75" customHeight="1" x14ac:dyDescent="0.4">
      <c r="A104" s="6"/>
      <c r="B104" s="6"/>
      <c r="C104" s="49"/>
      <c r="D104" s="49"/>
      <c r="E104" s="49"/>
      <c r="F104" s="49"/>
      <c r="G104" s="6"/>
    </row>
    <row r="105" spans="1:8" ht="21.75" customHeight="1" x14ac:dyDescent="0.4">
      <c r="A105" s="6"/>
      <c r="B105" s="6"/>
      <c r="C105" s="49"/>
      <c r="D105" s="49"/>
      <c r="E105" s="49"/>
      <c r="F105" s="49"/>
      <c r="G105" s="6"/>
    </row>
    <row r="106" spans="1:8" ht="21.75" customHeight="1" x14ac:dyDescent="0.4">
      <c r="A106" s="6"/>
      <c r="B106" s="6"/>
      <c r="C106" s="49"/>
      <c r="D106" s="49"/>
      <c r="E106" s="49"/>
      <c r="F106" s="49"/>
      <c r="G106" s="6"/>
    </row>
    <row r="107" spans="1:8" ht="21.75" customHeight="1" x14ac:dyDescent="0.4">
      <c r="A107" s="6"/>
      <c r="B107" s="6"/>
      <c r="C107" s="6"/>
      <c r="D107" s="6"/>
      <c r="E107" s="6"/>
      <c r="F107" s="6"/>
      <c r="G107" s="6"/>
    </row>
    <row r="108" spans="1:8" ht="21.75" customHeight="1" x14ac:dyDescent="0.4">
      <c r="A108" s="6"/>
      <c r="B108" s="6"/>
      <c r="C108" s="41"/>
      <c r="D108" s="41"/>
      <c r="E108" s="41"/>
      <c r="F108" s="6"/>
      <c r="G108" s="6"/>
    </row>
    <row r="109" spans="1:8" ht="21.75" customHeight="1" x14ac:dyDescent="0.4">
      <c r="A109" s="6"/>
      <c r="B109" s="6"/>
      <c r="C109" s="6"/>
      <c r="D109" s="6"/>
      <c r="E109" s="6"/>
      <c r="F109" s="6"/>
      <c r="G109" s="6"/>
    </row>
    <row r="110" spans="1:8" ht="21.75" customHeight="1" x14ac:dyDescent="0.4">
      <c r="A110" s="6"/>
      <c r="B110" s="6"/>
      <c r="C110" s="6"/>
      <c r="D110" s="6"/>
      <c r="E110" s="6"/>
      <c r="F110" s="6"/>
      <c r="G110" s="6"/>
    </row>
    <row r="111" spans="1:8" ht="21.75" customHeight="1" x14ac:dyDescent="0.4">
      <c r="A111" s="6"/>
      <c r="B111" s="6"/>
      <c r="C111" s="6"/>
      <c r="D111" s="6"/>
      <c r="E111" s="6"/>
      <c r="F111" s="6"/>
      <c r="G111" s="6"/>
    </row>
    <row r="112" spans="1:8" ht="21.75" customHeight="1" x14ac:dyDescent="0.4">
      <c r="A112" s="6"/>
      <c r="B112" s="6"/>
      <c r="C112" s="6"/>
      <c r="D112" s="6"/>
      <c r="E112" s="6"/>
      <c r="F112" s="6"/>
      <c r="G112" s="6"/>
      <c r="H112" s="50"/>
    </row>
    <row r="113" spans="1:7" ht="21.75" customHeight="1" x14ac:dyDescent="0.4">
      <c r="A113" s="6"/>
      <c r="B113" s="6"/>
      <c r="C113" s="49"/>
      <c r="D113" s="49"/>
      <c r="E113" s="49"/>
      <c r="F113" s="6"/>
      <c r="G113" s="6"/>
    </row>
    <row r="114" spans="1:7" ht="21.75" customHeight="1" x14ac:dyDescent="0.4">
      <c r="A114" s="6"/>
      <c r="B114" s="6"/>
      <c r="C114" s="49"/>
      <c r="D114" s="49"/>
      <c r="E114" s="49"/>
      <c r="F114" s="6"/>
      <c r="G114" s="6"/>
    </row>
    <row r="115" spans="1:7" ht="21.75" customHeight="1" x14ac:dyDescent="0.4">
      <c r="A115" s="6"/>
      <c r="B115" s="6"/>
      <c r="C115" s="49"/>
      <c r="D115" s="49"/>
      <c r="E115" s="49"/>
      <c r="F115" s="6"/>
      <c r="G115" s="6"/>
    </row>
    <row r="116" spans="1:7" ht="21.75" customHeight="1" x14ac:dyDescent="0.4">
      <c r="A116" s="6"/>
      <c r="B116" s="6"/>
      <c r="C116" s="49"/>
      <c r="D116" s="49"/>
      <c r="E116" s="49"/>
      <c r="F116" s="6"/>
      <c r="G116" s="6"/>
    </row>
    <row r="117" spans="1:7" ht="21.75" customHeight="1" x14ac:dyDescent="0.4">
      <c r="A117" s="6"/>
      <c r="B117" s="6"/>
      <c r="C117" s="49"/>
      <c r="D117" s="49"/>
      <c r="E117" s="49"/>
      <c r="F117" s="6"/>
      <c r="G117" s="6"/>
    </row>
    <row r="118" spans="1:7" ht="21.75" customHeight="1" x14ac:dyDescent="0.4">
      <c r="A118" s="6"/>
      <c r="B118" s="6"/>
      <c r="C118" s="6"/>
      <c r="D118" s="6"/>
      <c r="E118" s="6"/>
      <c r="F118" s="6"/>
      <c r="G118" s="6"/>
    </row>
    <row r="119" spans="1:7" ht="21.75" customHeight="1" x14ac:dyDescent="0.4">
      <c r="A119" s="6"/>
      <c r="B119" s="6"/>
      <c r="C119" s="41"/>
      <c r="D119" s="41"/>
      <c r="E119" s="41"/>
      <c r="F119" s="6"/>
      <c r="G119" s="6"/>
    </row>
    <row r="120" spans="1:7" ht="21.75" customHeight="1" x14ac:dyDescent="0.4">
      <c r="A120" s="6"/>
      <c r="B120" s="6"/>
      <c r="C120" s="6"/>
      <c r="D120" s="6"/>
      <c r="E120" s="6"/>
      <c r="F120" s="6"/>
      <c r="G120" s="6"/>
    </row>
    <row r="121" spans="1:7" ht="21.75" customHeight="1" x14ac:dyDescent="0.4">
      <c r="A121" s="6"/>
      <c r="B121" s="6"/>
      <c r="C121" s="6"/>
      <c r="D121" s="6"/>
      <c r="E121" s="6"/>
      <c r="F121" s="6"/>
      <c r="G121" s="6"/>
    </row>
  </sheetData>
  <mergeCells count="1">
    <mergeCell ref="B82:E82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60"/>
  <sheetViews>
    <sheetView zoomScale="50" zoomScaleNormal="50" workbookViewId="0">
      <pane ySplit="5" topLeftCell="A18" activePane="bottomLeft" state="frozen"/>
      <selection pane="bottomLeft" activeCell="H45" sqref="H45"/>
    </sheetView>
  </sheetViews>
  <sheetFormatPr defaultColWidth="16.33203125" defaultRowHeight="23.4" x14ac:dyDescent="0.45"/>
  <cols>
    <col min="1" max="2" width="16.33203125" style="55"/>
    <col min="3" max="3" width="41.6640625" style="55" customWidth="1"/>
    <col min="4" max="6" width="16.33203125" style="55"/>
    <col min="7" max="7" width="25.33203125" style="55" customWidth="1"/>
    <col min="8" max="8" width="16.33203125" style="55"/>
    <col min="9" max="9" width="27" style="55" customWidth="1"/>
    <col min="10" max="16384" width="16.33203125" style="55"/>
  </cols>
  <sheetData>
    <row r="1" spans="1:25" s="7" customFormat="1" ht="26.25" customHeight="1" x14ac:dyDescent="0.4">
      <c r="A1" s="1" t="s">
        <v>65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4"/>
      <c r="N1" s="5"/>
      <c r="O1" s="6"/>
      <c r="P1" s="6"/>
    </row>
    <row r="2" spans="1:25" s="7" customFormat="1" ht="26.25" customHeight="1" x14ac:dyDescent="0.4">
      <c r="A2" s="1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5"/>
      <c r="O2" s="6"/>
      <c r="P2" s="6"/>
    </row>
    <row r="3" spans="1:25" ht="21.75" customHeight="1" x14ac:dyDescent="0.4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  <c r="N3" s="5"/>
      <c r="O3" s="6"/>
      <c r="P3" s="6"/>
      <c r="Q3" s="7"/>
      <c r="R3" s="7"/>
      <c r="S3" s="7"/>
      <c r="T3" s="7"/>
      <c r="U3" s="7"/>
      <c r="V3" s="7"/>
      <c r="W3" s="7"/>
      <c r="X3" s="7"/>
      <c r="Y3" s="7"/>
    </row>
    <row r="4" spans="1:25" ht="21.75" customHeight="1" x14ac:dyDescent="0.45">
      <c r="A4" s="10" t="s">
        <v>0</v>
      </c>
      <c r="B4" s="7"/>
      <c r="C4" s="7"/>
      <c r="D4" s="10">
        <v>2016</v>
      </c>
      <c r="E4" s="10">
        <v>2015</v>
      </c>
      <c r="F4" s="10">
        <v>2014</v>
      </c>
      <c r="G4" s="10">
        <v>2013</v>
      </c>
      <c r="H4" s="7"/>
      <c r="I4" s="7"/>
      <c r="J4" s="7"/>
      <c r="K4" s="7"/>
      <c r="L4" s="7"/>
      <c r="M4" s="7"/>
      <c r="N4" s="7"/>
      <c r="O4" s="11"/>
      <c r="P4" s="12"/>
      <c r="Q4" s="7"/>
      <c r="R4" s="7"/>
      <c r="S4" s="7"/>
      <c r="T4" s="7"/>
      <c r="U4" s="7"/>
      <c r="V4" s="7"/>
      <c r="W4" s="7"/>
      <c r="X4" s="7"/>
      <c r="Y4" s="7"/>
    </row>
    <row r="5" spans="1:25" ht="21.75" customHeight="1" x14ac:dyDescent="0.45">
      <c r="A5" s="13" t="s">
        <v>1</v>
      </c>
      <c r="B5" s="13"/>
      <c r="C5" s="13"/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5" t="s">
        <v>24</v>
      </c>
      <c r="J5" s="15" t="s">
        <v>25</v>
      </c>
      <c r="K5" s="56" t="s">
        <v>26</v>
      </c>
      <c r="L5" s="15"/>
      <c r="M5" s="7"/>
      <c r="N5" s="16"/>
      <c r="O5" s="17"/>
      <c r="P5" s="17"/>
      <c r="Q5" s="10"/>
      <c r="R5" s="10"/>
      <c r="S5" s="10"/>
      <c r="T5" s="7"/>
      <c r="U5" s="7"/>
      <c r="V5" s="7"/>
      <c r="W5" s="7"/>
      <c r="X5" s="7"/>
      <c r="Y5" s="7"/>
    </row>
    <row r="6" spans="1:25" ht="21.75" customHeight="1" x14ac:dyDescent="0.45">
      <c r="A6" s="8" t="s">
        <v>72</v>
      </c>
      <c r="B6" s="8"/>
      <c r="C6" s="8"/>
      <c r="D6" s="18">
        <v>4</v>
      </c>
      <c r="E6" s="18">
        <v>162</v>
      </c>
      <c r="F6" s="18">
        <v>133</v>
      </c>
      <c r="G6" s="18">
        <v>30</v>
      </c>
      <c r="H6" s="20">
        <v>329</v>
      </c>
      <c r="I6" s="31">
        <f t="shared" ref="I6" si="0">SUM(D6:G6)</f>
        <v>329</v>
      </c>
      <c r="J6" s="57">
        <f>ROUND(H6-I6,0)</f>
        <v>0</v>
      </c>
      <c r="K6" s="31">
        <f>SUM(E6:G6)</f>
        <v>325</v>
      </c>
      <c r="L6" s="20"/>
      <c r="M6" s="31" t="s">
        <v>55</v>
      </c>
      <c r="N6" s="5"/>
      <c r="O6" s="8"/>
      <c r="P6" s="8"/>
      <c r="Q6" s="21"/>
      <c r="R6" s="21"/>
      <c r="S6" s="21"/>
      <c r="T6" s="8"/>
      <c r="U6" s="8"/>
      <c r="V6" s="7"/>
      <c r="W6" s="7"/>
      <c r="X6" s="7"/>
      <c r="Y6" s="7"/>
    </row>
    <row r="7" spans="1:25" ht="21.75" customHeight="1" x14ac:dyDescent="0.45">
      <c r="A7" s="8" t="s">
        <v>8</v>
      </c>
      <c r="B7" s="8"/>
      <c r="C7" s="8"/>
      <c r="D7" s="18">
        <v>5</v>
      </c>
      <c r="E7" s="18">
        <v>121</v>
      </c>
      <c r="F7" s="18">
        <v>75</v>
      </c>
      <c r="G7" s="18">
        <f t="shared" ref="G7:G13" si="1">ROUND(G49*H7,0)</f>
        <v>0</v>
      </c>
      <c r="H7" s="19">
        <v>201</v>
      </c>
      <c r="I7" s="31">
        <f>SUM(D7:G7)</f>
        <v>201</v>
      </c>
      <c r="J7" s="57">
        <f>ROUND(H7-I7,0)</f>
        <v>0</v>
      </c>
      <c r="K7" s="31">
        <f>SUM(E7:G7)</f>
        <v>196</v>
      </c>
      <c r="L7" s="20"/>
      <c r="M7" s="31" t="s">
        <v>64</v>
      </c>
      <c r="N7" s="35"/>
      <c r="O7" s="22"/>
      <c r="P7" s="22"/>
      <c r="Q7" s="8"/>
      <c r="R7" s="8"/>
      <c r="S7" s="8"/>
      <c r="T7" s="8"/>
      <c r="U7" s="8"/>
      <c r="V7" s="7"/>
      <c r="W7" s="7"/>
      <c r="X7" s="7"/>
      <c r="Y7" s="7"/>
    </row>
    <row r="8" spans="1:25" ht="21.75" customHeight="1" x14ac:dyDescent="0.45">
      <c r="A8" s="8" t="s">
        <v>9</v>
      </c>
      <c r="B8" s="8"/>
      <c r="C8" s="8"/>
      <c r="D8" s="18">
        <v>0</v>
      </c>
      <c r="E8" s="18">
        <v>7</v>
      </c>
      <c r="F8" s="18">
        <v>5</v>
      </c>
      <c r="G8" s="18">
        <f t="shared" si="1"/>
        <v>0</v>
      </c>
      <c r="H8" s="19">
        <v>12</v>
      </c>
      <c r="I8" s="31">
        <f>SUM(D8:G8)</f>
        <v>12</v>
      </c>
      <c r="J8" s="57">
        <f>ROUND(H8-I8,0)</f>
        <v>0</v>
      </c>
      <c r="K8" s="31">
        <f t="shared" ref="K8:K12" si="2">SUM(E8:G8)</f>
        <v>12</v>
      </c>
      <c r="L8" s="20"/>
      <c r="M8" s="31" t="s">
        <v>64</v>
      </c>
      <c r="N8" s="5"/>
      <c r="O8" s="21"/>
      <c r="P8" s="21"/>
      <c r="Q8" s="22"/>
      <c r="R8" s="22"/>
      <c r="S8" s="23"/>
      <c r="T8" s="8"/>
      <c r="U8" s="8"/>
      <c r="V8" s="7"/>
      <c r="W8" s="7"/>
      <c r="X8" s="7"/>
      <c r="Y8" s="7"/>
    </row>
    <row r="9" spans="1:25" ht="21.75" customHeight="1" x14ac:dyDescent="0.45">
      <c r="A9" s="8" t="s">
        <v>10</v>
      </c>
      <c r="B9" s="8"/>
      <c r="C9" s="8"/>
      <c r="D9" s="18">
        <f>ROUND($H$9*D51,0)</f>
        <v>62</v>
      </c>
      <c r="E9" s="18">
        <f>ROUND($H$9*E51,0)</f>
        <v>2682</v>
      </c>
      <c r="F9" s="18">
        <f t="shared" ref="F9:F13" si="3">ROUND(F51*H9,0)</f>
        <v>1676</v>
      </c>
      <c r="G9" s="18">
        <f t="shared" si="1"/>
        <v>39</v>
      </c>
      <c r="H9" s="19">
        <v>4459</v>
      </c>
      <c r="I9" s="31">
        <f>ROUND(SUM(D9:G9),0)</f>
        <v>4459</v>
      </c>
      <c r="J9" s="57">
        <f>H9-I9</f>
        <v>0</v>
      </c>
      <c r="K9" s="31">
        <f>SUM(E9:G9)</f>
        <v>4397</v>
      </c>
      <c r="L9" s="20"/>
      <c r="M9" s="31" t="s">
        <v>27</v>
      </c>
      <c r="N9" s="7"/>
      <c r="O9" s="7"/>
      <c r="P9" s="17"/>
      <c r="Q9" s="17"/>
      <c r="R9" s="17"/>
      <c r="S9" s="17"/>
      <c r="T9" s="7"/>
      <c r="U9" s="7"/>
      <c r="V9" s="7"/>
      <c r="W9" s="7"/>
      <c r="X9" s="7"/>
      <c r="Y9" s="7"/>
    </row>
    <row r="10" spans="1:25" ht="24.75" customHeight="1" x14ac:dyDescent="0.45">
      <c r="A10" s="8" t="s">
        <v>35</v>
      </c>
      <c r="B10" s="8"/>
      <c r="C10" s="8"/>
      <c r="D10" s="18">
        <f>ROUND($H10*D52,0)</f>
        <v>3</v>
      </c>
      <c r="E10" s="18">
        <f>ROUND($H10*E52,0)</f>
        <v>128</v>
      </c>
      <c r="F10" s="18">
        <f t="shared" si="3"/>
        <v>80</v>
      </c>
      <c r="G10" s="18">
        <f t="shared" si="1"/>
        <v>2</v>
      </c>
      <c r="H10" s="19">
        <f>ROUND(1743*0.122,0)</f>
        <v>213</v>
      </c>
      <c r="I10" s="31">
        <f t="shared" ref="I10:I13" si="4">ROUND(SUM(D10:G10),0)</f>
        <v>213</v>
      </c>
      <c r="J10" s="57">
        <f>H10-I10</f>
        <v>0</v>
      </c>
      <c r="K10" s="31">
        <f>SUM(E10:G10)</f>
        <v>210</v>
      </c>
      <c r="L10" s="20"/>
      <c r="M10" s="31" t="s">
        <v>75</v>
      </c>
      <c r="N10" s="5"/>
      <c r="O10" s="17"/>
      <c r="P10" s="17"/>
      <c r="Q10" s="17"/>
      <c r="R10" s="17"/>
      <c r="S10" s="17"/>
      <c r="T10" s="7"/>
      <c r="U10" s="7"/>
      <c r="V10" s="7"/>
      <c r="W10" s="7"/>
      <c r="X10" s="7"/>
      <c r="Y10" s="7"/>
    </row>
    <row r="11" spans="1:25" ht="21.75" customHeight="1" x14ac:dyDescent="0.45">
      <c r="A11" s="8" t="s">
        <v>11</v>
      </c>
      <c r="B11" s="8"/>
      <c r="C11" s="8"/>
      <c r="D11" s="18">
        <f>ROUND($H11*D53,0)</f>
        <v>0</v>
      </c>
      <c r="E11" s="18">
        <f>ROUND($H11*E53,0)</f>
        <v>0</v>
      </c>
      <c r="F11" s="18">
        <f t="shared" si="3"/>
        <v>0</v>
      </c>
      <c r="G11" s="18">
        <f t="shared" si="1"/>
        <v>0</v>
      </c>
      <c r="H11" s="19">
        <v>0</v>
      </c>
      <c r="I11" s="31">
        <f t="shared" si="4"/>
        <v>0</v>
      </c>
      <c r="J11" s="57">
        <f t="shared" ref="J11:J13" si="5">H11-I11</f>
        <v>0</v>
      </c>
      <c r="K11" s="31">
        <f>SUM(E11:G11)</f>
        <v>0</v>
      </c>
      <c r="L11" s="20"/>
      <c r="M11" s="31" t="s">
        <v>27</v>
      </c>
      <c r="N11" s="5"/>
      <c r="O11" s="17"/>
      <c r="P11" s="17"/>
      <c r="Q11" s="17"/>
      <c r="R11" s="17"/>
      <c r="S11" s="17"/>
      <c r="T11" s="7"/>
      <c r="U11" s="7"/>
      <c r="V11" s="7"/>
      <c r="W11" s="7"/>
      <c r="X11" s="7"/>
      <c r="Y11" s="7"/>
    </row>
    <row r="12" spans="1:25" ht="24" customHeight="1" x14ac:dyDescent="0.45">
      <c r="A12" s="8" t="s">
        <v>36</v>
      </c>
      <c r="B12" s="8"/>
      <c r="C12" s="8"/>
      <c r="D12" s="18">
        <v>0</v>
      </c>
      <c r="E12" s="18">
        <f>ROUND($H12*E54,0)</f>
        <v>1</v>
      </c>
      <c r="F12" s="18">
        <f t="shared" si="3"/>
        <v>0</v>
      </c>
      <c r="G12" s="18">
        <f t="shared" si="1"/>
        <v>0</v>
      </c>
      <c r="H12" s="19">
        <f>ROUND(6*0.122,0)</f>
        <v>1</v>
      </c>
      <c r="I12" s="31">
        <f t="shared" si="4"/>
        <v>1</v>
      </c>
      <c r="J12" s="57">
        <f t="shared" si="5"/>
        <v>0</v>
      </c>
      <c r="K12" s="31">
        <f t="shared" si="2"/>
        <v>1</v>
      </c>
      <c r="L12" s="20"/>
      <c r="M12" s="31" t="s">
        <v>75</v>
      </c>
      <c r="N12" s="5"/>
      <c r="O12" s="17"/>
      <c r="P12" s="6"/>
      <c r="Q12" s="17"/>
      <c r="R12" s="17"/>
      <c r="S12" s="17"/>
      <c r="T12" s="7"/>
      <c r="U12" s="7"/>
      <c r="V12" s="7"/>
      <c r="W12" s="7"/>
      <c r="X12" s="7"/>
      <c r="Y12" s="7"/>
    </row>
    <row r="13" spans="1:25" ht="24" customHeight="1" x14ac:dyDescent="0.45">
      <c r="A13" s="52" t="s">
        <v>90</v>
      </c>
      <c r="B13" s="8"/>
      <c r="C13" s="8"/>
      <c r="D13" s="18">
        <f>ROUND($H13*D55,0)</f>
        <v>0</v>
      </c>
      <c r="E13" s="18">
        <f>ROUND($H13*E55,0)</f>
        <v>1</v>
      </c>
      <c r="F13" s="18">
        <f t="shared" si="3"/>
        <v>1</v>
      </c>
      <c r="G13" s="18">
        <f t="shared" si="1"/>
        <v>0</v>
      </c>
      <c r="H13" s="19">
        <v>2</v>
      </c>
      <c r="I13" s="31">
        <f t="shared" si="4"/>
        <v>2</v>
      </c>
      <c r="J13" s="57">
        <f t="shared" si="5"/>
        <v>0</v>
      </c>
      <c r="K13" s="31">
        <f>SUM(E13:G13)</f>
        <v>2</v>
      </c>
      <c r="L13" s="20"/>
      <c r="M13" s="58" t="s">
        <v>73</v>
      </c>
      <c r="N13" s="5"/>
      <c r="O13" s="17"/>
      <c r="P13" s="6"/>
      <c r="Q13" s="17"/>
      <c r="R13" s="17"/>
      <c r="S13" s="17"/>
      <c r="T13" s="7"/>
      <c r="U13" s="7"/>
      <c r="V13" s="7"/>
      <c r="W13" s="7"/>
      <c r="X13" s="7"/>
      <c r="Y13" s="7"/>
    </row>
    <row r="14" spans="1:25" ht="21.75" customHeight="1" thickBot="1" x14ac:dyDescent="0.5">
      <c r="A14" s="8"/>
      <c r="B14" s="8"/>
      <c r="C14" s="8"/>
      <c r="D14" s="8"/>
      <c r="E14" s="8"/>
      <c r="F14" s="8"/>
      <c r="G14" s="24"/>
      <c r="H14" s="25"/>
      <c r="I14" s="31"/>
      <c r="J14" s="57"/>
      <c r="K14" s="31"/>
      <c r="L14" s="20"/>
      <c r="M14" s="31"/>
      <c r="N14" s="5"/>
      <c r="O14" s="6"/>
      <c r="P14" s="12"/>
      <c r="Q14" s="7"/>
      <c r="R14" s="7"/>
      <c r="S14" s="7"/>
      <c r="T14" s="7"/>
      <c r="U14" s="7"/>
      <c r="V14" s="7"/>
      <c r="W14" s="7"/>
      <c r="X14" s="7"/>
      <c r="Y14" s="7"/>
    </row>
    <row r="15" spans="1:25" ht="21.75" customHeight="1" thickTop="1" x14ac:dyDescent="0.45">
      <c r="A15" s="26" t="s">
        <v>12</v>
      </c>
      <c r="B15" s="26"/>
      <c r="C15" s="26"/>
      <c r="D15" s="27">
        <f>SUM(D6:D13)</f>
        <v>74</v>
      </c>
      <c r="E15" s="27">
        <f>SUM(E6:E13)</f>
        <v>3102</v>
      </c>
      <c r="F15" s="27">
        <f>SUM(F6:F13)</f>
        <v>1970</v>
      </c>
      <c r="G15" s="27">
        <f>SUM(G6:G13)</f>
        <v>71</v>
      </c>
      <c r="H15" s="19">
        <f>SUM(H6:H13)</f>
        <v>5217</v>
      </c>
      <c r="I15" s="31">
        <f>SUM(D15:G15)</f>
        <v>5217</v>
      </c>
      <c r="J15" s="57">
        <f>H15-I15</f>
        <v>0</v>
      </c>
      <c r="K15" s="31">
        <f>SUM(E15:G15)</f>
        <v>5143</v>
      </c>
      <c r="L15" s="20"/>
      <c r="M15" s="31"/>
      <c r="N15" s="32"/>
      <c r="O15" s="7"/>
      <c r="P15" s="7"/>
      <c r="Q15" s="10"/>
      <c r="R15" s="10"/>
      <c r="S15" s="10"/>
      <c r="T15" s="7"/>
      <c r="U15" s="7"/>
      <c r="V15" s="7"/>
      <c r="W15" s="7"/>
      <c r="X15" s="7"/>
      <c r="Y15" s="7"/>
    </row>
    <row r="16" spans="1:25" ht="21.75" customHeight="1" x14ac:dyDescent="0.45">
      <c r="A16" s="7"/>
      <c r="B16" s="7"/>
      <c r="C16" s="7"/>
      <c r="D16" s="7"/>
      <c r="E16" s="7"/>
      <c r="F16" s="7"/>
      <c r="G16" s="7"/>
      <c r="H16" s="10"/>
      <c r="I16" s="7"/>
      <c r="J16" s="15"/>
      <c r="K16" s="15"/>
      <c r="L16" s="15"/>
      <c r="M16" s="31"/>
      <c r="N16" s="5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45">
      <c r="A17" s="8"/>
      <c r="B17" s="8"/>
      <c r="C17" s="8"/>
      <c r="D17" s="8"/>
      <c r="E17" s="8"/>
      <c r="F17" s="8" t="s">
        <v>13</v>
      </c>
      <c r="G17" s="8"/>
      <c r="H17" s="9"/>
      <c r="I17" s="31"/>
      <c r="J17" s="5"/>
      <c r="K17" s="5"/>
      <c r="L17" s="5"/>
      <c r="M17" s="31"/>
      <c r="N17" s="16"/>
      <c r="O17" s="12"/>
      <c r="P17" s="12"/>
      <c r="Q17" s="10"/>
      <c r="R17" s="10"/>
      <c r="S17" s="10"/>
      <c r="T17" s="7"/>
      <c r="U17" s="7"/>
      <c r="V17" s="7"/>
      <c r="W17" s="7"/>
      <c r="X17" s="7"/>
      <c r="Y17" s="7"/>
    </row>
    <row r="18" spans="1:25" ht="21.6" customHeight="1" x14ac:dyDescent="0.45">
      <c r="A18" s="13" t="s">
        <v>14</v>
      </c>
      <c r="B18" s="13"/>
      <c r="C18" s="13"/>
      <c r="D18" s="13"/>
      <c r="E18" s="13"/>
      <c r="F18" s="13"/>
      <c r="G18" s="13"/>
      <c r="H18" s="13"/>
      <c r="I18" s="5" t="s">
        <v>24</v>
      </c>
      <c r="J18" s="15" t="s">
        <v>25</v>
      </c>
      <c r="K18" s="56" t="s">
        <v>26</v>
      </c>
      <c r="L18" s="15"/>
      <c r="M18" s="31"/>
      <c r="N18" s="5"/>
      <c r="O18" s="59"/>
      <c r="P18" s="17"/>
      <c r="Q18" s="17"/>
      <c r="R18" s="17"/>
      <c r="S18" s="28"/>
      <c r="T18" s="7"/>
      <c r="U18" s="7"/>
      <c r="V18" s="7"/>
      <c r="W18" s="7"/>
      <c r="X18" s="7"/>
      <c r="Y18" s="7"/>
    </row>
    <row r="19" spans="1:25" ht="25.5" customHeight="1" x14ac:dyDescent="0.45">
      <c r="A19" s="8" t="s">
        <v>37</v>
      </c>
      <c r="B19" s="8"/>
      <c r="C19" s="8"/>
      <c r="D19" s="18">
        <f>ROUND($H19*D56,0)</f>
        <v>1734</v>
      </c>
      <c r="E19" s="18">
        <f>ROUND($H19*E56,0)</f>
        <v>11748</v>
      </c>
      <c r="F19" s="18">
        <v>6968</v>
      </c>
      <c r="G19" s="18">
        <f>ROUND($H19*G56,0)</f>
        <v>167</v>
      </c>
      <c r="H19" s="19">
        <v>20617</v>
      </c>
      <c r="I19" s="31">
        <f>SUM(D19:G19)</f>
        <v>20617</v>
      </c>
      <c r="J19" s="57">
        <f>H19-I19</f>
        <v>0</v>
      </c>
      <c r="K19" s="31">
        <f t="shared" ref="K19:K26" si="6">SUM(E19:G19)</f>
        <v>18883</v>
      </c>
      <c r="L19" s="20"/>
      <c r="M19" s="31" t="s">
        <v>28</v>
      </c>
      <c r="N19" s="5"/>
      <c r="O19" s="17"/>
      <c r="P19" s="17"/>
      <c r="Q19" s="17"/>
      <c r="R19" s="17"/>
      <c r="S19" s="28"/>
      <c r="T19" s="7"/>
      <c r="U19" s="7"/>
      <c r="V19" s="7"/>
      <c r="W19" s="7"/>
      <c r="X19" s="7"/>
      <c r="Y19" s="7"/>
    </row>
    <row r="20" spans="1:25" ht="23.7" customHeight="1" x14ac:dyDescent="0.45">
      <c r="A20" s="8" t="s">
        <v>15</v>
      </c>
      <c r="B20" s="8"/>
      <c r="C20" s="8"/>
      <c r="D20" s="18">
        <f t="shared" ref="D20:D27" si="7">ROUND($H20*D57,0)</f>
        <v>1</v>
      </c>
      <c r="E20" s="18">
        <v>34</v>
      </c>
      <c r="F20" s="18">
        <f t="shared" ref="F20:G27" si="8">ROUND($H20*F57,0)</f>
        <v>22</v>
      </c>
      <c r="G20" s="18">
        <f t="shared" si="8"/>
        <v>1</v>
      </c>
      <c r="H20" s="19">
        <v>58</v>
      </c>
      <c r="I20" s="31">
        <f t="shared" ref="I20:I27" si="9">SUM(D20:G20)</f>
        <v>58</v>
      </c>
      <c r="J20" s="57">
        <f>H20-I20</f>
        <v>0</v>
      </c>
      <c r="K20" s="31">
        <f t="shared" si="6"/>
        <v>57</v>
      </c>
      <c r="L20" s="20"/>
      <c r="M20" s="31" t="s">
        <v>74</v>
      </c>
      <c r="N20" s="60"/>
      <c r="O20" s="17"/>
      <c r="P20" s="17"/>
      <c r="Q20" s="17"/>
      <c r="R20" s="17"/>
      <c r="S20" s="28"/>
      <c r="T20" s="7"/>
      <c r="U20" s="7"/>
      <c r="V20" s="7"/>
      <c r="W20" s="7"/>
      <c r="X20" s="7"/>
      <c r="Y20" s="7"/>
    </row>
    <row r="21" spans="1:25" ht="24" customHeight="1" x14ac:dyDescent="0.45">
      <c r="A21" s="8" t="s">
        <v>38</v>
      </c>
      <c r="B21" s="8"/>
      <c r="C21" s="8"/>
      <c r="D21" s="18">
        <f t="shared" si="7"/>
        <v>34</v>
      </c>
      <c r="E21" s="18">
        <f>ROUND($H21*E58,0)</f>
        <v>88</v>
      </c>
      <c r="F21" s="18">
        <f t="shared" si="8"/>
        <v>31</v>
      </c>
      <c r="G21" s="18">
        <f t="shared" si="8"/>
        <v>0</v>
      </c>
      <c r="H21" s="19">
        <v>153</v>
      </c>
      <c r="I21" s="31">
        <f t="shared" ref="I21:I26" si="10">SUM(D21:G21)</f>
        <v>153</v>
      </c>
      <c r="J21" s="57">
        <f>H21-I21</f>
        <v>0</v>
      </c>
      <c r="K21" s="31">
        <f>SUM(E21:G21)</f>
        <v>119</v>
      </c>
      <c r="L21" s="20"/>
      <c r="M21" s="31" t="s">
        <v>56</v>
      </c>
      <c r="N21" s="60"/>
      <c r="O21" s="17"/>
      <c r="P21" s="17"/>
      <c r="Q21" s="17"/>
      <c r="R21" s="17"/>
      <c r="S21" s="28"/>
      <c r="T21" s="7"/>
      <c r="U21" s="7"/>
      <c r="V21" s="7"/>
      <c r="W21" s="7"/>
      <c r="X21" s="7"/>
      <c r="Y21" s="7"/>
    </row>
    <row r="22" spans="1:25" ht="24.75" customHeight="1" x14ac:dyDescent="0.45">
      <c r="A22" s="8" t="s">
        <v>39</v>
      </c>
      <c r="B22" s="8"/>
      <c r="C22" s="8"/>
      <c r="D22" s="18">
        <f t="shared" si="7"/>
        <v>5</v>
      </c>
      <c r="E22" s="18">
        <f>ROUND($H22*E59,0)</f>
        <v>37</v>
      </c>
      <c r="F22" s="18">
        <f t="shared" si="8"/>
        <v>13</v>
      </c>
      <c r="G22" s="18">
        <f t="shared" si="8"/>
        <v>0</v>
      </c>
      <c r="H22" s="19">
        <v>55</v>
      </c>
      <c r="I22" s="31">
        <f t="shared" si="10"/>
        <v>55</v>
      </c>
      <c r="J22" s="57">
        <f t="shared" ref="J22:J26" si="11">H22-I22</f>
        <v>0</v>
      </c>
      <c r="K22" s="31">
        <f>SUM(E22:G22)</f>
        <v>50</v>
      </c>
      <c r="L22" s="20"/>
      <c r="M22" s="31" t="s">
        <v>51</v>
      </c>
      <c r="N22" s="5"/>
      <c r="O22" s="17"/>
      <c r="P22" s="17"/>
      <c r="Q22" s="17"/>
      <c r="R22" s="17"/>
      <c r="S22" s="28"/>
      <c r="T22" s="7"/>
      <c r="U22" s="7"/>
      <c r="V22" s="7"/>
      <c r="W22" s="7"/>
      <c r="X22" s="7"/>
      <c r="Y22" s="7"/>
    </row>
    <row r="23" spans="1:25" ht="24" customHeight="1" x14ac:dyDescent="0.45">
      <c r="A23" s="8" t="s">
        <v>84</v>
      </c>
      <c r="B23" s="8"/>
      <c r="C23" s="8"/>
      <c r="D23" s="18">
        <f t="shared" si="7"/>
        <v>4</v>
      </c>
      <c r="E23" s="18">
        <f>ROUND($H23*E60,0)</f>
        <v>14</v>
      </c>
      <c r="F23" s="18">
        <f t="shared" si="8"/>
        <v>5</v>
      </c>
      <c r="G23" s="18">
        <f t="shared" si="8"/>
        <v>0</v>
      </c>
      <c r="H23" s="19">
        <v>23</v>
      </c>
      <c r="I23" s="31">
        <f t="shared" si="10"/>
        <v>23</v>
      </c>
      <c r="J23" s="57">
        <f t="shared" si="11"/>
        <v>0</v>
      </c>
      <c r="K23" s="31">
        <f t="shared" si="6"/>
        <v>19</v>
      </c>
      <c r="L23" s="20"/>
      <c r="M23" s="31" t="s">
        <v>57</v>
      </c>
      <c r="N23" s="31"/>
      <c r="O23" s="17"/>
      <c r="P23" s="17"/>
      <c r="Q23" s="17"/>
      <c r="R23" s="17"/>
      <c r="S23" s="28"/>
      <c r="T23" s="7"/>
      <c r="U23" s="7"/>
      <c r="V23" s="7"/>
      <c r="W23" s="7"/>
      <c r="X23" s="7"/>
      <c r="Y23" s="7"/>
    </row>
    <row r="24" spans="1:25" s="61" customFormat="1" ht="24" customHeight="1" x14ac:dyDescent="0.45">
      <c r="A24" s="8" t="s">
        <v>40</v>
      </c>
      <c r="B24" s="8"/>
      <c r="C24" s="8"/>
      <c r="D24" s="18">
        <f t="shared" si="7"/>
        <v>156</v>
      </c>
      <c r="E24" s="18">
        <f>ROUND($H24*E61,0)</f>
        <v>1684</v>
      </c>
      <c r="F24" s="18">
        <f t="shared" si="8"/>
        <v>594</v>
      </c>
      <c r="G24" s="18">
        <f t="shared" si="8"/>
        <v>0</v>
      </c>
      <c r="H24" s="19">
        <v>2434</v>
      </c>
      <c r="I24" s="31">
        <f t="shared" si="10"/>
        <v>2434</v>
      </c>
      <c r="J24" s="57">
        <f>H24-I24</f>
        <v>0</v>
      </c>
      <c r="K24" s="31">
        <f>SUM(E24:G24)</f>
        <v>2278</v>
      </c>
      <c r="L24" s="20"/>
      <c r="M24" s="31" t="s">
        <v>51</v>
      </c>
      <c r="N24" s="31"/>
      <c r="O24" s="21"/>
      <c r="P24" s="21"/>
      <c r="Q24" s="21"/>
      <c r="R24" s="21"/>
      <c r="S24" s="18"/>
      <c r="T24" s="8"/>
      <c r="U24" s="8"/>
      <c r="V24" s="8"/>
      <c r="W24" s="8"/>
      <c r="X24" s="8"/>
      <c r="Y24" s="8"/>
    </row>
    <row r="25" spans="1:25" s="61" customFormat="1" ht="24" customHeight="1" x14ac:dyDescent="0.45">
      <c r="A25" s="8" t="s">
        <v>30</v>
      </c>
      <c r="B25" s="8"/>
      <c r="C25" s="8"/>
      <c r="D25" s="18">
        <f t="shared" si="7"/>
        <v>0</v>
      </c>
      <c r="E25" s="18">
        <f>ROUND($H25*E62,0)</f>
        <v>1</v>
      </c>
      <c r="F25" s="18">
        <v>1</v>
      </c>
      <c r="G25" s="18">
        <f t="shared" si="8"/>
        <v>0</v>
      </c>
      <c r="H25" s="19">
        <v>2</v>
      </c>
      <c r="I25" s="31">
        <f>SUM(D25:G25)</f>
        <v>2</v>
      </c>
      <c r="J25" s="57">
        <f t="shared" si="11"/>
        <v>0</v>
      </c>
      <c r="K25" s="31">
        <f t="shared" si="6"/>
        <v>2</v>
      </c>
      <c r="L25" s="20"/>
      <c r="M25" s="31" t="s">
        <v>51</v>
      </c>
      <c r="N25" s="5"/>
      <c r="O25" s="21"/>
      <c r="P25" s="21"/>
      <c r="Q25" s="21"/>
      <c r="R25" s="21"/>
      <c r="S25" s="18"/>
      <c r="T25" s="8"/>
      <c r="U25" s="8"/>
      <c r="V25" s="8"/>
      <c r="W25" s="8"/>
      <c r="X25" s="8"/>
      <c r="Y25" s="8"/>
    </row>
    <row r="26" spans="1:25" s="61" customFormat="1" ht="24" customHeight="1" x14ac:dyDescent="0.45">
      <c r="A26" s="8" t="s">
        <v>16</v>
      </c>
      <c r="B26" s="8"/>
      <c r="C26" s="8"/>
      <c r="D26" s="18">
        <f t="shared" si="7"/>
        <v>4</v>
      </c>
      <c r="E26" s="18">
        <v>15</v>
      </c>
      <c r="F26" s="18">
        <f t="shared" si="8"/>
        <v>5</v>
      </c>
      <c r="G26" s="18">
        <f t="shared" si="8"/>
        <v>0</v>
      </c>
      <c r="H26" s="19">
        <v>24</v>
      </c>
      <c r="I26" s="31">
        <f t="shared" si="10"/>
        <v>24</v>
      </c>
      <c r="J26" s="57">
        <f t="shared" si="11"/>
        <v>0</v>
      </c>
      <c r="K26" s="31">
        <f t="shared" si="6"/>
        <v>20</v>
      </c>
      <c r="L26" s="20"/>
      <c r="M26" s="31" t="s">
        <v>51</v>
      </c>
      <c r="N26" s="5"/>
      <c r="O26" s="21"/>
      <c r="P26" s="21"/>
      <c r="Q26" s="21"/>
      <c r="R26" s="21"/>
      <c r="S26" s="21"/>
      <c r="T26" s="8"/>
      <c r="U26" s="8"/>
      <c r="V26" s="8"/>
      <c r="W26" s="8"/>
      <c r="X26" s="8"/>
      <c r="Y26" s="8"/>
    </row>
    <row r="27" spans="1:25" ht="24" customHeight="1" x14ac:dyDescent="0.45">
      <c r="A27" s="29" t="s">
        <v>67</v>
      </c>
      <c r="B27" s="8"/>
      <c r="C27" s="8"/>
      <c r="D27" s="18">
        <f t="shared" si="7"/>
        <v>10</v>
      </c>
      <c r="E27" s="18">
        <f>ROUND($H27*E64,0)</f>
        <v>440</v>
      </c>
      <c r="F27" s="18">
        <f t="shared" si="8"/>
        <v>275</v>
      </c>
      <c r="G27" s="18">
        <f t="shared" si="8"/>
        <v>6</v>
      </c>
      <c r="H27" s="19">
        <v>731</v>
      </c>
      <c r="I27" s="31">
        <f t="shared" si="9"/>
        <v>731</v>
      </c>
      <c r="J27" s="57">
        <f>H27-I27</f>
        <v>0</v>
      </c>
      <c r="K27" s="31">
        <f>SUM(E27:G27)</f>
        <v>721</v>
      </c>
      <c r="L27" s="20"/>
      <c r="M27" s="62" t="s">
        <v>66</v>
      </c>
      <c r="N27" s="5"/>
      <c r="O27" s="6"/>
      <c r="P27" s="6"/>
      <c r="Q27" s="7"/>
      <c r="R27" s="7"/>
      <c r="S27" s="7"/>
      <c r="T27" s="7"/>
      <c r="U27" s="7"/>
      <c r="V27" s="7"/>
      <c r="W27" s="7"/>
      <c r="X27" s="7"/>
      <c r="Y27" s="7"/>
    </row>
    <row r="28" spans="1:25" ht="21.75" customHeight="1" thickBot="1" x14ac:dyDescent="0.5">
      <c r="A28" s="8"/>
      <c r="B28" s="8"/>
      <c r="C28" s="8"/>
      <c r="D28" s="8"/>
      <c r="E28" s="8"/>
      <c r="F28" s="8"/>
      <c r="G28" s="24"/>
      <c r="H28" s="30"/>
      <c r="I28" s="31"/>
      <c r="J28" s="63"/>
      <c r="K28" s="64"/>
      <c r="L28" s="20"/>
      <c r="M28" s="31"/>
      <c r="N28" s="32"/>
      <c r="O28" s="33"/>
      <c r="P28" s="12"/>
      <c r="Q28" s="10"/>
      <c r="R28" s="10"/>
      <c r="S28" s="10"/>
      <c r="T28" s="7"/>
      <c r="U28" s="7"/>
      <c r="V28" s="7"/>
      <c r="W28" s="7"/>
      <c r="X28" s="7"/>
      <c r="Y28" s="7"/>
    </row>
    <row r="29" spans="1:25" ht="21.75" customHeight="1" thickTop="1" x14ac:dyDescent="0.45">
      <c r="A29" s="26" t="s">
        <v>12</v>
      </c>
      <c r="B29" s="26"/>
      <c r="C29" s="26"/>
      <c r="D29" s="27">
        <f>SUM(D19:D27)</f>
        <v>1948</v>
      </c>
      <c r="E29" s="27">
        <f>SUM(E19:E27)</f>
        <v>14061</v>
      </c>
      <c r="F29" s="27">
        <f>SUM(F19:F27)</f>
        <v>7914</v>
      </c>
      <c r="G29" s="27">
        <f>SUM(G19:G27)</f>
        <v>174</v>
      </c>
      <c r="H29" s="19">
        <f>SUM(H19:H27)</f>
        <v>24097</v>
      </c>
      <c r="I29" s="31">
        <f>SUM(D29:G29)</f>
        <v>24097</v>
      </c>
      <c r="J29" s="57">
        <f>H29-I29</f>
        <v>0</v>
      </c>
      <c r="K29" s="31">
        <f>SUM(E29:G29)</f>
        <v>22149</v>
      </c>
      <c r="L29" s="20"/>
      <c r="M29" s="31"/>
      <c r="N29" s="5"/>
      <c r="O29" s="6"/>
      <c r="P29" s="6"/>
      <c r="Q29" s="7"/>
      <c r="R29" s="7"/>
      <c r="S29" s="7"/>
      <c r="T29" s="7"/>
      <c r="U29" s="7"/>
      <c r="V29" s="7"/>
      <c r="W29" s="7"/>
      <c r="X29" s="7"/>
      <c r="Y29" s="7"/>
    </row>
    <row r="30" spans="1:25" ht="21.75" customHeight="1" x14ac:dyDescent="0.45">
      <c r="A30" s="10"/>
      <c r="B30" s="10"/>
      <c r="C30" s="10"/>
      <c r="D30" s="34"/>
      <c r="E30" s="34"/>
      <c r="F30" s="34"/>
      <c r="G30" s="34"/>
      <c r="H30" s="34"/>
      <c r="I30" s="64"/>
      <c r="J30" s="63"/>
      <c r="K30" s="64"/>
      <c r="L30" s="20"/>
      <c r="M30" s="31"/>
      <c r="N30" s="35"/>
      <c r="O30" s="33"/>
      <c r="P30" s="6"/>
      <c r="Q30" s="7"/>
      <c r="R30" s="7"/>
      <c r="S30" s="7"/>
      <c r="T30" s="7"/>
      <c r="U30" s="7"/>
      <c r="V30" s="7"/>
      <c r="W30" s="7"/>
      <c r="X30" s="7"/>
      <c r="Y30" s="7"/>
    </row>
    <row r="31" spans="1:25" ht="21.75" customHeight="1" x14ac:dyDescent="0.45">
      <c r="A31" s="8"/>
      <c r="B31" s="8"/>
      <c r="C31" s="8"/>
      <c r="D31" s="8"/>
      <c r="E31" s="8"/>
      <c r="F31" s="8"/>
      <c r="G31" s="8"/>
      <c r="H31" s="9"/>
      <c r="I31" s="31"/>
      <c r="J31" s="57"/>
      <c r="K31" s="31"/>
      <c r="L31" s="20"/>
      <c r="M31" s="31"/>
      <c r="N31" s="5"/>
      <c r="O31" s="6"/>
      <c r="P31" s="6"/>
      <c r="Q31" s="7"/>
      <c r="R31" s="7"/>
      <c r="S31" s="7"/>
      <c r="T31" s="7"/>
      <c r="U31" s="7"/>
      <c r="V31" s="7"/>
      <c r="W31" s="7"/>
      <c r="X31" s="7"/>
      <c r="Y31" s="7"/>
    </row>
    <row r="32" spans="1:25" ht="21.75" customHeight="1" x14ac:dyDescent="0.45">
      <c r="A32" s="9" t="s">
        <v>17</v>
      </c>
      <c r="B32" s="9"/>
      <c r="C32" s="9"/>
      <c r="D32" s="19">
        <f>SUM(D15+D29)</f>
        <v>2022</v>
      </c>
      <c r="E32" s="19">
        <f>SUM(E15+E29)</f>
        <v>17163</v>
      </c>
      <c r="F32" s="19">
        <f>SUM(F15+F29)</f>
        <v>9884</v>
      </c>
      <c r="G32" s="19">
        <f>SUM(G15+G29)</f>
        <v>245</v>
      </c>
      <c r="H32" s="19">
        <f>SUM(H15+H29)</f>
        <v>29314</v>
      </c>
      <c r="I32" s="31">
        <f>SUM(D32:G32)</f>
        <v>29314</v>
      </c>
      <c r="J32" s="57">
        <f>H32-I32</f>
        <v>0</v>
      </c>
      <c r="K32" s="31">
        <f>SUM(E32:G32)</f>
        <v>27292</v>
      </c>
      <c r="L32" s="20"/>
      <c r="M32" s="31"/>
      <c r="N32" s="5"/>
      <c r="O32" s="6"/>
      <c r="P32" s="6"/>
      <c r="Q32" s="7"/>
      <c r="R32" s="7"/>
      <c r="S32" s="7"/>
      <c r="T32" s="7"/>
      <c r="U32" s="7"/>
      <c r="V32" s="7"/>
      <c r="W32" s="7"/>
      <c r="X32" s="7"/>
      <c r="Y32" s="7"/>
    </row>
    <row r="33" spans="1:25" ht="21.75" customHeight="1" x14ac:dyDescent="0.45">
      <c r="A33" s="8" t="s">
        <v>18</v>
      </c>
      <c r="B33" s="8"/>
      <c r="C33" s="8"/>
      <c r="D33" s="36">
        <f>(D32/H32)</f>
        <v>6.8977280480316566E-2</v>
      </c>
      <c r="E33" s="36">
        <f>(E32/H32)</f>
        <v>0.58548816265265746</v>
      </c>
      <c r="F33" s="36">
        <f>(F32/H32)</f>
        <v>0.33717677560210141</v>
      </c>
      <c r="G33" s="36">
        <f>(G32/H32)</f>
        <v>8.3577812649246099E-3</v>
      </c>
      <c r="H33" s="9"/>
      <c r="I33" s="31"/>
      <c r="J33" s="5"/>
      <c r="K33" s="5"/>
      <c r="L33" s="5"/>
      <c r="M33" s="31"/>
      <c r="N33" s="65">
        <f>SUM(D33:M33)</f>
        <v>1.0000000000000002</v>
      </c>
      <c r="O33" s="61"/>
      <c r="P33" s="66"/>
      <c r="Q33" s="7"/>
      <c r="R33" s="7"/>
      <c r="S33" s="7"/>
      <c r="T33" s="7"/>
      <c r="U33" s="7"/>
      <c r="V33" s="7"/>
      <c r="W33" s="7"/>
      <c r="X33" s="7"/>
      <c r="Y33" s="7"/>
    </row>
    <row r="34" spans="1:25" ht="21.75" customHeight="1" x14ac:dyDescent="0.45">
      <c r="A34" s="29"/>
      <c r="B34" s="8"/>
      <c r="C34" s="8"/>
      <c r="D34" s="8"/>
      <c r="E34" s="8"/>
      <c r="F34" s="8"/>
      <c r="G34" s="8"/>
      <c r="H34" s="9"/>
      <c r="I34" s="31"/>
      <c r="J34" s="5"/>
      <c r="K34" s="5"/>
      <c r="L34" s="5"/>
      <c r="M34" s="7"/>
      <c r="N34" s="7"/>
      <c r="O34" s="7"/>
      <c r="P34" s="7"/>
    </row>
    <row r="35" spans="1:25" ht="21.75" customHeight="1" x14ac:dyDescent="0.45">
      <c r="A35" s="37" t="s">
        <v>19</v>
      </c>
      <c r="B35" s="9"/>
      <c r="C35" s="9"/>
      <c r="D35" s="19">
        <f>(D32-(D6+D7+D8))</f>
        <v>2013</v>
      </c>
      <c r="E35" s="19">
        <f>(E32-(E6+E7+E8))</f>
        <v>16873</v>
      </c>
      <c r="F35" s="19">
        <f>(F32-(F6+F7+F8))</f>
        <v>9671</v>
      </c>
      <c r="G35" s="19">
        <f>(G32-(G6+G7+G8))</f>
        <v>215</v>
      </c>
      <c r="H35" s="19">
        <f>(H32-(H6+H7+H8))</f>
        <v>28772</v>
      </c>
      <c r="I35" s="31">
        <f>SUM(D35:G35)</f>
        <v>28772</v>
      </c>
      <c r="J35" s="57">
        <f>H35-I35</f>
        <v>0</v>
      </c>
      <c r="K35" s="31">
        <f>SUM(E35:G35)</f>
        <v>26759</v>
      </c>
      <c r="L35" s="20"/>
      <c r="M35" s="7"/>
      <c r="N35" s="7"/>
      <c r="O35" s="7"/>
      <c r="P35" s="7"/>
    </row>
    <row r="36" spans="1:25" ht="21.75" customHeight="1" x14ac:dyDescent="0.45">
      <c r="A36" s="8" t="s">
        <v>18</v>
      </c>
      <c r="B36" s="8"/>
      <c r="C36" s="8"/>
      <c r="D36" s="36">
        <f>(D35/H35)</f>
        <v>6.9963853746698182E-2</v>
      </c>
      <c r="E36" s="36">
        <f>(E35/H35)</f>
        <v>0.58643820380925904</v>
      </c>
      <c r="F36" s="36">
        <f>(F35/H35)</f>
        <v>0.33612539969414706</v>
      </c>
      <c r="G36" s="36">
        <f>(G35/H35)</f>
        <v>7.4725427498957319E-3</v>
      </c>
      <c r="H36" s="9"/>
      <c r="I36" s="31"/>
      <c r="J36" s="5"/>
      <c r="K36" s="5"/>
      <c r="L36" s="5"/>
      <c r="M36" s="7"/>
      <c r="N36" s="67">
        <f>SUM(D36:M36)</f>
        <v>1.0000000000000002</v>
      </c>
      <c r="O36" s="7"/>
      <c r="P36" s="7"/>
    </row>
    <row r="37" spans="1:25" ht="21.75" customHeight="1" x14ac:dyDescent="0.45">
      <c r="A37" s="29"/>
      <c r="B37" s="8"/>
      <c r="C37" s="8"/>
      <c r="D37" s="8"/>
      <c r="E37" s="8"/>
      <c r="F37" s="8"/>
      <c r="G37" s="8"/>
      <c r="H37" s="9"/>
      <c r="I37" s="31"/>
      <c r="J37" s="5"/>
      <c r="K37" s="5"/>
      <c r="L37" s="5"/>
      <c r="M37" s="7"/>
      <c r="N37" s="7"/>
      <c r="O37" s="7"/>
      <c r="P37" s="7"/>
    </row>
    <row r="38" spans="1:25" ht="21.75" customHeight="1" x14ac:dyDescent="0.45">
      <c r="A38" s="9" t="s">
        <v>20</v>
      </c>
      <c r="B38" s="9"/>
      <c r="C38" s="9"/>
      <c r="D38" s="19">
        <f t="shared" ref="D38:F38" si="12">(D11+D21+D23+D24+D26+D25+D12+D22)</f>
        <v>203</v>
      </c>
      <c r="E38" s="19">
        <f t="shared" si="12"/>
        <v>1840</v>
      </c>
      <c r="F38" s="19">
        <f t="shared" si="12"/>
        <v>649</v>
      </c>
      <c r="G38" s="19">
        <f>(G11+G21+G23+G24+G26+G25+G12+G22)</f>
        <v>0</v>
      </c>
      <c r="H38" s="19">
        <f>(H11+H21+H23+H24+H26+H25+H12+H22)</f>
        <v>2692</v>
      </c>
      <c r="I38" s="18">
        <f>(I11+I21+I23+I24+I26+I25+I12+I22)</f>
        <v>2692</v>
      </c>
      <c r="J38" s="57">
        <f>H38-I38</f>
        <v>0</v>
      </c>
      <c r="K38" s="31">
        <f>SUM(E38:G38)</f>
        <v>2489</v>
      </c>
      <c r="L38" s="20"/>
      <c r="M38" s="7"/>
      <c r="N38" s="7"/>
      <c r="O38" s="7"/>
      <c r="P38" s="7"/>
    </row>
    <row r="39" spans="1:25" ht="21.75" customHeight="1" x14ac:dyDescent="0.45">
      <c r="A39" s="8" t="s">
        <v>18</v>
      </c>
      <c r="B39" s="8"/>
      <c r="C39" s="8"/>
      <c r="D39" s="36">
        <f>(D38/H38)</f>
        <v>7.5408618127786028E-2</v>
      </c>
      <c r="E39" s="36">
        <f>(E38/H38)</f>
        <v>0.68350668647845469</v>
      </c>
      <c r="F39" s="36">
        <f>(F38/H38)</f>
        <v>0.24108469539375929</v>
      </c>
      <c r="G39" s="36">
        <f>(G38/H38)</f>
        <v>0</v>
      </c>
      <c r="H39" s="9"/>
      <c r="I39" s="31"/>
      <c r="J39" s="5"/>
      <c r="K39" s="5"/>
      <c r="L39" s="5"/>
      <c r="M39" s="7"/>
      <c r="N39" s="67">
        <f>SUM(D39:M39)</f>
        <v>1</v>
      </c>
      <c r="O39" s="7"/>
      <c r="P39" s="7"/>
    </row>
    <row r="40" spans="1:25" ht="21.75" customHeight="1" x14ac:dyDescent="0.45">
      <c r="A40" s="8"/>
      <c r="B40" s="8"/>
      <c r="C40" s="8"/>
      <c r="D40" s="36"/>
      <c r="E40" s="36"/>
      <c r="F40" s="36"/>
      <c r="G40" s="36"/>
      <c r="H40" s="9"/>
      <c r="I40" s="31"/>
      <c r="J40" s="5"/>
      <c r="K40" s="5"/>
      <c r="L40" s="5"/>
      <c r="M40" s="7"/>
      <c r="N40" s="7"/>
      <c r="O40" s="7"/>
      <c r="P40" s="7"/>
    </row>
    <row r="41" spans="1:25" ht="21.75" customHeight="1" x14ac:dyDescent="0.45">
      <c r="A41" s="8"/>
      <c r="B41" s="8"/>
      <c r="C41" s="8"/>
      <c r="D41" s="36"/>
      <c r="E41" s="36"/>
      <c r="F41" s="36"/>
      <c r="G41" s="36"/>
      <c r="H41" s="9"/>
      <c r="I41" s="31"/>
      <c r="J41" s="5"/>
      <c r="K41" s="5"/>
      <c r="L41" s="5"/>
      <c r="M41" s="7"/>
      <c r="N41" s="7"/>
      <c r="O41" s="7"/>
      <c r="P41" s="7"/>
    </row>
    <row r="42" spans="1:25" ht="21.75" customHeight="1" x14ac:dyDescent="0.45">
      <c r="A42" s="8" t="s">
        <v>103</v>
      </c>
      <c r="B42" s="8"/>
      <c r="C42" s="8"/>
      <c r="D42" s="8"/>
      <c r="E42" s="8"/>
      <c r="F42" s="7"/>
      <c r="G42" s="7"/>
      <c r="H42" s="18">
        <f>'Hatchery-Wild Breakdown'!I44</f>
        <v>73.044894664077589</v>
      </c>
      <c r="I42" s="31"/>
      <c r="J42" s="5"/>
      <c r="K42" s="5"/>
      <c r="L42" s="5"/>
      <c r="M42" s="7"/>
      <c r="N42" s="7"/>
      <c r="O42" s="7"/>
      <c r="P42" s="7"/>
    </row>
    <row r="43" spans="1:25" ht="21.75" customHeight="1" x14ac:dyDescent="0.45">
      <c r="A43" s="8" t="s">
        <v>104</v>
      </c>
      <c r="B43" s="8"/>
      <c r="C43" s="8"/>
      <c r="D43" s="8"/>
      <c r="E43" s="8"/>
      <c r="F43" s="7"/>
      <c r="G43" s="7"/>
      <c r="H43" s="18">
        <f>'Hatchery-Wild Breakdown'!J44</f>
        <v>53.681336696000926</v>
      </c>
      <c r="I43" s="31"/>
      <c r="J43" s="5"/>
      <c r="K43" s="5"/>
      <c r="L43" s="5"/>
      <c r="M43" s="7"/>
      <c r="N43" s="7"/>
      <c r="O43" s="7"/>
      <c r="P43" s="7"/>
    </row>
    <row r="44" spans="1:25" ht="21.75" customHeight="1" x14ac:dyDescent="0.45">
      <c r="A44" s="7"/>
      <c r="B44" s="7"/>
      <c r="C44" s="7"/>
      <c r="D44" s="7"/>
      <c r="E44" s="7"/>
      <c r="F44" s="7"/>
      <c r="G44" s="7"/>
      <c r="H44" s="7"/>
      <c r="I44" s="4"/>
      <c r="J44" s="5"/>
      <c r="K44" s="5"/>
      <c r="L44" s="5"/>
      <c r="M44" s="7"/>
      <c r="N44" s="7"/>
      <c r="O44" s="7"/>
      <c r="P44" s="7"/>
    </row>
    <row r="45" spans="1:25" ht="21.75" customHeight="1" x14ac:dyDescent="0.45">
      <c r="A45" s="7" t="s">
        <v>105</v>
      </c>
      <c r="B45" s="7"/>
      <c r="C45" s="7"/>
      <c r="D45" s="7"/>
      <c r="E45" s="7"/>
      <c r="F45" s="7"/>
      <c r="G45" s="7"/>
      <c r="H45" s="71">
        <f>H38+H42+H43</f>
        <v>2818.7262313600786</v>
      </c>
      <c r="I45" s="4"/>
      <c r="J45" s="5"/>
      <c r="K45" s="5"/>
      <c r="L45" s="5"/>
      <c r="M45" s="7"/>
      <c r="N45" s="7"/>
      <c r="O45" s="7"/>
      <c r="P45" s="7"/>
    </row>
    <row r="46" spans="1:25" ht="21.75" customHeight="1" x14ac:dyDescent="0.45">
      <c r="A46" s="29"/>
      <c r="B46" s="8"/>
      <c r="C46" s="8"/>
      <c r="D46" s="8"/>
      <c r="E46" s="8"/>
      <c r="F46" s="8"/>
      <c r="G46" s="8"/>
      <c r="H46" s="8"/>
      <c r="I46" s="31"/>
      <c r="J46" s="5"/>
      <c r="K46" s="5"/>
      <c r="L46" s="5"/>
      <c r="M46" s="7"/>
      <c r="N46" s="7"/>
      <c r="O46" s="7"/>
      <c r="P46" s="7"/>
    </row>
    <row r="47" spans="1:25" x14ac:dyDescent="0.45">
      <c r="A47" s="13" t="s">
        <v>22</v>
      </c>
      <c r="B47" s="13"/>
      <c r="C47" s="13"/>
      <c r="D47" s="13"/>
      <c r="E47" s="13"/>
      <c r="F47" s="13"/>
      <c r="G47" s="13"/>
      <c r="H47" s="13"/>
      <c r="I47" s="31"/>
      <c r="J47" s="16"/>
      <c r="K47" s="16"/>
      <c r="L47" s="16"/>
      <c r="M47" s="7"/>
      <c r="N47" s="7"/>
      <c r="O47" s="7"/>
      <c r="P47" s="7"/>
    </row>
    <row r="48" spans="1:25" x14ac:dyDescent="0.45">
      <c r="A48" s="8" t="s">
        <v>72</v>
      </c>
      <c r="B48" s="8"/>
      <c r="C48" s="8"/>
      <c r="D48" s="38">
        <v>1.2200000000000001E-2</v>
      </c>
      <c r="E48" s="38">
        <v>0.4924</v>
      </c>
      <c r="F48" s="38">
        <v>0.4042</v>
      </c>
      <c r="G48" s="38">
        <v>9.1200000000000003E-2</v>
      </c>
      <c r="H48" s="38">
        <f t="shared" ref="H48:H50" si="13">SUM(D48:G48)</f>
        <v>1</v>
      </c>
      <c r="J48" s="5"/>
      <c r="K48" s="5"/>
      <c r="L48" s="5"/>
      <c r="M48" s="7"/>
      <c r="N48" s="40"/>
      <c r="O48" s="7"/>
      <c r="P48" s="7"/>
    </row>
    <row r="49" spans="1:25" ht="27" x14ac:dyDescent="0.45">
      <c r="A49" s="8" t="s">
        <v>62</v>
      </c>
      <c r="B49" s="8"/>
      <c r="C49" s="8"/>
      <c r="D49" s="38">
        <v>2.487E-2</v>
      </c>
      <c r="E49" s="38">
        <v>0.60199000000000003</v>
      </c>
      <c r="F49" s="38">
        <v>0.37313000000000002</v>
      </c>
      <c r="G49" s="38">
        <v>0</v>
      </c>
      <c r="H49" s="38">
        <f t="shared" si="13"/>
        <v>0.99998999999999993</v>
      </c>
      <c r="J49" s="5"/>
      <c r="K49" s="5"/>
      <c r="L49" s="5"/>
      <c r="M49" s="7"/>
      <c r="N49" s="40"/>
      <c r="O49" s="7"/>
      <c r="P49" s="7"/>
    </row>
    <row r="50" spans="1:25" ht="27" x14ac:dyDescent="0.45">
      <c r="A50" s="8" t="s">
        <v>63</v>
      </c>
      <c r="B50" s="8"/>
      <c r="C50" s="8"/>
      <c r="D50" s="38">
        <v>0</v>
      </c>
      <c r="E50" s="38">
        <v>0.58330000000000004</v>
      </c>
      <c r="F50" s="38">
        <v>0.41670000000000001</v>
      </c>
      <c r="G50" s="38">
        <v>0</v>
      </c>
      <c r="H50" s="38">
        <f t="shared" si="13"/>
        <v>1</v>
      </c>
      <c r="J50" s="5"/>
      <c r="K50" s="5"/>
      <c r="L50" s="5"/>
      <c r="M50" s="39"/>
      <c r="N50" s="51"/>
      <c r="O50" s="4"/>
      <c r="P50" s="4"/>
      <c r="Q50" s="8"/>
      <c r="R50" s="8"/>
      <c r="S50" s="8"/>
      <c r="T50" s="7"/>
      <c r="U50" s="7"/>
      <c r="V50" s="7"/>
      <c r="W50" s="7"/>
      <c r="X50" s="7"/>
      <c r="Y50" s="7"/>
    </row>
    <row r="51" spans="1:25" ht="27" x14ac:dyDescent="0.45">
      <c r="A51" s="8" t="s">
        <v>85</v>
      </c>
      <c r="B51" s="8"/>
      <c r="C51" s="8"/>
      <c r="D51" s="38">
        <v>1.4E-2</v>
      </c>
      <c r="E51" s="38">
        <v>0.60140000000000005</v>
      </c>
      <c r="F51" s="38">
        <v>0.37590000000000001</v>
      </c>
      <c r="G51" s="38">
        <v>8.6999999999999994E-3</v>
      </c>
      <c r="H51" s="38">
        <f>SUM(D51:G51)</f>
        <v>1</v>
      </c>
      <c r="I51" s="39"/>
      <c r="J51" s="5"/>
      <c r="K51" s="5"/>
      <c r="L51" s="5"/>
      <c r="M51" s="39"/>
      <c r="N51" s="51"/>
      <c r="O51" s="4"/>
      <c r="P51" s="4"/>
      <c r="Q51" s="8"/>
      <c r="R51" s="8"/>
      <c r="S51" s="8"/>
      <c r="T51" s="7"/>
      <c r="U51" s="7"/>
      <c r="V51" s="7"/>
      <c r="W51" s="7"/>
      <c r="X51" s="7"/>
      <c r="Y51" s="7"/>
    </row>
    <row r="52" spans="1:25" ht="27" x14ac:dyDescent="0.45">
      <c r="A52" s="8" t="s">
        <v>88</v>
      </c>
      <c r="B52" s="8"/>
      <c r="C52" s="8"/>
      <c r="D52" s="38">
        <v>1.4E-2</v>
      </c>
      <c r="E52" s="38">
        <v>0.60140000000000005</v>
      </c>
      <c r="F52" s="38">
        <v>0.37590000000000001</v>
      </c>
      <c r="G52" s="38">
        <v>8.6999999999999994E-3</v>
      </c>
      <c r="H52" s="38">
        <f>SUM(D52:G52)</f>
        <v>1</v>
      </c>
      <c r="I52" s="39"/>
      <c r="J52" s="5"/>
      <c r="K52" s="5"/>
      <c r="L52" s="5"/>
      <c r="M52" s="39"/>
      <c r="N52" s="5"/>
      <c r="O52" s="4"/>
      <c r="P52" s="4"/>
      <c r="Q52" s="8"/>
      <c r="R52" s="8"/>
      <c r="S52" s="8"/>
      <c r="T52" s="7"/>
      <c r="U52" s="7"/>
      <c r="V52" s="7"/>
      <c r="W52" s="7"/>
      <c r="X52" s="7"/>
      <c r="Y52" s="7"/>
    </row>
    <row r="53" spans="1:25" ht="27" x14ac:dyDescent="0.45">
      <c r="A53" s="8" t="s">
        <v>86</v>
      </c>
      <c r="B53" s="8"/>
      <c r="C53" s="8"/>
      <c r="D53" s="54">
        <v>0.18303571428571427</v>
      </c>
      <c r="E53" s="38">
        <v>0.59791666666666665</v>
      </c>
      <c r="F53" s="38">
        <v>0.21904761904761902</v>
      </c>
      <c r="G53" s="38">
        <v>0</v>
      </c>
      <c r="H53" s="38">
        <f t="shared" ref="H53:H54" si="14">SUM(D53:G53)</f>
        <v>1</v>
      </c>
      <c r="I53" s="39"/>
      <c r="J53" s="5"/>
      <c r="K53" s="5"/>
      <c r="L53" s="5"/>
      <c r="M53" s="39"/>
      <c r="N53" s="5"/>
      <c r="O53" s="4"/>
      <c r="P53" s="4"/>
      <c r="Q53" s="8"/>
      <c r="R53" s="8"/>
      <c r="S53" s="8"/>
      <c r="T53" s="7"/>
      <c r="U53" s="7"/>
      <c r="V53" s="7"/>
      <c r="W53" s="7"/>
      <c r="X53" s="7"/>
      <c r="Y53" s="7"/>
    </row>
    <row r="54" spans="1:25" ht="27" x14ac:dyDescent="0.45">
      <c r="A54" s="8" t="s">
        <v>89</v>
      </c>
      <c r="B54" s="8"/>
      <c r="C54" s="8"/>
      <c r="D54" s="54">
        <v>0.18303571428571427</v>
      </c>
      <c r="E54" s="38">
        <v>0.59791666666666665</v>
      </c>
      <c r="F54" s="38">
        <v>0.21904761904761902</v>
      </c>
      <c r="G54" s="38">
        <v>0</v>
      </c>
      <c r="H54" s="38">
        <f t="shared" si="14"/>
        <v>1</v>
      </c>
      <c r="I54" s="39"/>
      <c r="J54" s="5"/>
      <c r="K54" s="5"/>
      <c r="L54" s="5"/>
      <c r="M54" s="39"/>
      <c r="N54" s="5"/>
      <c r="O54" s="4"/>
      <c r="P54" s="4"/>
      <c r="Q54" s="8"/>
      <c r="R54" s="8"/>
      <c r="S54" s="8"/>
      <c r="T54" s="7"/>
      <c r="U54" s="7"/>
      <c r="V54" s="7"/>
      <c r="W54" s="7"/>
      <c r="X54" s="7"/>
      <c r="Y54" s="7"/>
    </row>
    <row r="55" spans="1:25" ht="27" x14ac:dyDescent="0.45">
      <c r="A55" s="52" t="s">
        <v>87</v>
      </c>
      <c r="B55" s="8"/>
      <c r="C55" s="8"/>
      <c r="D55" s="38">
        <v>1.4E-2</v>
      </c>
      <c r="E55" s="38">
        <v>0.60140000000000005</v>
      </c>
      <c r="F55" s="38">
        <v>0.37590000000000001</v>
      </c>
      <c r="G55" s="38">
        <v>8.6999999999999994E-3</v>
      </c>
      <c r="H55" s="38">
        <f>SUM(D55:G55)</f>
        <v>1</v>
      </c>
      <c r="I55" s="39"/>
      <c r="J55" s="5"/>
      <c r="K55" s="5"/>
      <c r="L55" s="5"/>
      <c r="M55" s="39"/>
      <c r="N55" s="5"/>
      <c r="O55" s="4"/>
      <c r="P55" s="4"/>
      <c r="Q55" s="8"/>
      <c r="R55" s="8"/>
      <c r="S55" s="8"/>
      <c r="T55" s="7"/>
      <c r="U55" s="7"/>
      <c r="V55" s="7"/>
      <c r="W55" s="7"/>
      <c r="X55" s="7"/>
      <c r="Y55" s="7"/>
    </row>
    <row r="56" spans="1:25" ht="27" x14ac:dyDescent="0.45">
      <c r="A56" s="8" t="s">
        <v>31</v>
      </c>
      <c r="B56" s="8"/>
      <c r="C56" s="8"/>
      <c r="D56" s="38">
        <v>8.4099999999999994E-2</v>
      </c>
      <c r="E56" s="38">
        <v>0.56979999999999997</v>
      </c>
      <c r="F56" s="38">
        <v>0.33800000000000002</v>
      </c>
      <c r="G56" s="38">
        <v>8.0999999999999996E-3</v>
      </c>
      <c r="H56" s="38">
        <f>SUM(D56:G56)</f>
        <v>1</v>
      </c>
      <c r="I56" s="90" t="s">
        <v>91</v>
      </c>
      <c r="J56" s="5"/>
      <c r="K56" s="5"/>
      <c r="L56" s="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7" x14ac:dyDescent="0.45">
      <c r="A57" s="8" t="s">
        <v>92</v>
      </c>
      <c r="B57" s="8"/>
      <c r="C57" s="8"/>
      <c r="D57" s="38">
        <v>1.4E-2</v>
      </c>
      <c r="E57" s="38">
        <v>0.60140000000000005</v>
      </c>
      <c r="F57" s="38">
        <v>0.37590000000000001</v>
      </c>
      <c r="G57" s="38">
        <v>8.6999999999999994E-3</v>
      </c>
      <c r="H57" s="38">
        <f t="shared" ref="H57:H60" si="15">SUM(D57:G57)</f>
        <v>1</v>
      </c>
      <c r="I57" s="39"/>
      <c r="J57" s="5"/>
      <c r="K57" s="5"/>
      <c r="L57" s="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7" x14ac:dyDescent="0.45">
      <c r="A58" s="8" t="s">
        <v>93</v>
      </c>
      <c r="B58" s="8"/>
      <c r="C58" s="8"/>
      <c r="D58" s="38">
        <v>0.22220000000000001</v>
      </c>
      <c r="E58" s="38">
        <v>0.57520000000000004</v>
      </c>
      <c r="F58" s="38">
        <v>0.2026</v>
      </c>
      <c r="G58" s="38">
        <v>0</v>
      </c>
      <c r="H58" s="38">
        <f t="shared" si="15"/>
        <v>1</v>
      </c>
      <c r="I58" s="90" t="s">
        <v>78</v>
      </c>
      <c r="J58" s="5"/>
      <c r="K58" s="5"/>
      <c r="L58" s="5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7" x14ac:dyDescent="0.45">
      <c r="A59" s="8" t="s">
        <v>70</v>
      </c>
      <c r="B59" s="8"/>
      <c r="C59" s="8"/>
      <c r="D59" s="38">
        <v>9.0899999999999995E-2</v>
      </c>
      <c r="E59" s="38">
        <v>0.67269999999999996</v>
      </c>
      <c r="F59" s="38">
        <v>0.2364</v>
      </c>
      <c r="G59" s="38">
        <v>0</v>
      </c>
      <c r="H59" s="38">
        <f t="shared" si="15"/>
        <v>1</v>
      </c>
      <c r="I59" s="90" t="s">
        <v>78</v>
      </c>
      <c r="J59" s="5"/>
      <c r="K59" s="5"/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7" x14ac:dyDescent="0.45">
      <c r="A60" s="8" t="s">
        <v>71</v>
      </c>
      <c r="B60" s="8"/>
      <c r="C60" s="8"/>
      <c r="D60" s="38">
        <v>0.1739</v>
      </c>
      <c r="E60" s="38">
        <v>0.60580000000000001</v>
      </c>
      <c r="F60" s="38">
        <v>0.2203</v>
      </c>
      <c r="G60" s="38">
        <v>0</v>
      </c>
      <c r="H60" s="38">
        <f t="shared" si="15"/>
        <v>1</v>
      </c>
      <c r="I60" s="90" t="s">
        <v>78</v>
      </c>
      <c r="J60" s="5"/>
      <c r="K60" s="5"/>
      <c r="L60" s="5"/>
      <c r="M60" s="4"/>
      <c r="N60" s="5"/>
      <c r="O60" s="6"/>
      <c r="P60" s="6"/>
      <c r="Q60" s="7"/>
      <c r="R60" s="7"/>
      <c r="S60" s="7"/>
      <c r="T60" s="7"/>
      <c r="U60" s="7"/>
      <c r="V60" s="7"/>
      <c r="W60" s="7"/>
      <c r="X60" s="7"/>
      <c r="Y60" s="7"/>
    </row>
    <row r="61" spans="1:25" ht="27" x14ac:dyDescent="0.45">
      <c r="A61" s="8" t="s">
        <v>80</v>
      </c>
      <c r="B61" s="8"/>
      <c r="C61" s="8"/>
      <c r="D61" s="38">
        <v>6.4100000000000004E-2</v>
      </c>
      <c r="E61" s="38">
        <v>0.69189999999999996</v>
      </c>
      <c r="F61" s="38">
        <v>0.24399999999999999</v>
      </c>
      <c r="G61" s="38">
        <v>0</v>
      </c>
      <c r="H61" s="38">
        <f t="shared" ref="H61:H62" si="16">SUM(D61:G61)</f>
        <v>1</v>
      </c>
      <c r="I61" s="90" t="s">
        <v>79</v>
      </c>
      <c r="J61" s="5"/>
      <c r="K61" s="5"/>
      <c r="L61" s="5"/>
      <c r="M61" s="4"/>
      <c r="N61" s="5"/>
      <c r="O61" s="6"/>
      <c r="P61" s="6"/>
      <c r="Q61" s="7"/>
      <c r="R61" s="7"/>
      <c r="S61" s="7"/>
      <c r="T61" s="7"/>
      <c r="U61" s="7"/>
      <c r="V61" s="7"/>
      <c r="W61" s="7"/>
      <c r="X61" s="7"/>
      <c r="Y61" s="7"/>
    </row>
    <row r="62" spans="1:25" ht="27" x14ac:dyDescent="0.45">
      <c r="A62" s="8" t="s">
        <v>81</v>
      </c>
      <c r="B62" s="8"/>
      <c r="C62" s="8"/>
      <c r="D62" s="54">
        <v>0.18609999999999999</v>
      </c>
      <c r="E62" s="38">
        <v>0.60150000000000003</v>
      </c>
      <c r="F62" s="38">
        <v>0.21240000000000001</v>
      </c>
      <c r="G62" s="38">
        <v>0</v>
      </c>
      <c r="H62" s="38">
        <f t="shared" si="16"/>
        <v>1</v>
      </c>
      <c r="I62" s="39"/>
      <c r="J62" s="5"/>
      <c r="K62" s="5"/>
      <c r="L62" s="5"/>
      <c r="M62" s="4"/>
      <c r="N62" s="5"/>
      <c r="O62" s="6"/>
      <c r="P62" s="6"/>
      <c r="Q62" s="7"/>
      <c r="R62" s="7"/>
      <c r="S62" s="7"/>
      <c r="T62" s="7"/>
      <c r="U62" s="7"/>
      <c r="V62" s="7"/>
      <c r="W62" s="7"/>
      <c r="X62" s="7"/>
      <c r="Y62" s="7"/>
    </row>
    <row r="63" spans="1:25" ht="27" x14ac:dyDescent="0.45">
      <c r="A63" s="8" t="s">
        <v>82</v>
      </c>
      <c r="B63" s="8"/>
      <c r="C63" s="8"/>
      <c r="D63" s="54">
        <v>0.18609999999999999</v>
      </c>
      <c r="E63" s="38">
        <v>0.60150000000000003</v>
      </c>
      <c r="F63" s="38">
        <v>0.21240000000000001</v>
      </c>
      <c r="G63" s="38">
        <v>0</v>
      </c>
      <c r="H63" s="38">
        <f>SUM(D63:G63)</f>
        <v>1</v>
      </c>
      <c r="I63" s="39"/>
      <c r="J63" s="5"/>
      <c r="K63" s="5"/>
      <c r="L63" s="5"/>
      <c r="M63" s="4"/>
      <c r="N63" s="5"/>
      <c r="O63" s="6"/>
      <c r="P63" s="6"/>
      <c r="Q63" s="7"/>
      <c r="R63" s="7"/>
      <c r="S63" s="7"/>
      <c r="T63" s="7"/>
      <c r="U63" s="7"/>
      <c r="V63" s="7"/>
      <c r="W63" s="7"/>
      <c r="X63" s="7"/>
      <c r="Y63" s="7"/>
    </row>
    <row r="64" spans="1:25" ht="27" x14ac:dyDescent="0.45">
      <c r="A64" s="29" t="s">
        <v>32</v>
      </c>
      <c r="B64" s="8"/>
      <c r="C64" s="8"/>
      <c r="D64" s="38">
        <v>1.4E-2</v>
      </c>
      <c r="E64" s="38">
        <v>0.60140000000000005</v>
      </c>
      <c r="F64" s="38">
        <v>0.37590000000000001</v>
      </c>
      <c r="G64" s="38">
        <v>8.6999999999999994E-3</v>
      </c>
      <c r="H64" s="38">
        <f>SUM(D64:G64)</f>
        <v>1</v>
      </c>
      <c r="I64" s="39"/>
      <c r="J64" s="15"/>
      <c r="K64" s="15"/>
      <c r="L64" s="15"/>
      <c r="M64" s="4"/>
      <c r="N64" s="5"/>
      <c r="O64" s="6"/>
      <c r="P64" s="6"/>
      <c r="Q64" s="7"/>
      <c r="R64" s="7"/>
      <c r="S64" s="7"/>
      <c r="T64" s="7"/>
      <c r="U64" s="7"/>
      <c r="V64" s="7"/>
      <c r="W64" s="7"/>
      <c r="X64" s="7"/>
      <c r="Y64" s="7"/>
    </row>
    <row r="65" spans="1:25" ht="21.75" customHeight="1" x14ac:dyDescent="0.45">
      <c r="A65" s="29"/>
      <c r="B65" s="7"/>
      <c r="C65" s="7"/>
      <c r="D65" s="7"/>
      <c r="E65" s="7"/>
      <c r="F65" s="7"/>
      <c r="G65" s="7"/>
      <c r="H65" s="7"/>
      <c r="I65" s="7"/>
      <c r="J65" s="5"/>
      <c r="K65" s="5"/>
      <c r="L65" s="5"/>
      <c r="M65" s="4"/>
      <c r="N65" s="5"/>
      <c r="O65" s="6"/>
      <c r="P65" s="6"/>
      <c r="Q65" s="7"/>
      <c r="R65" s="7"/>
      <c r="S65" s="7"/>
      <c r="T65" s="7"/>
      <c r="U65" s="7"/>
      <c r="V65" s="7"/>
      <c r="W65" s="7"/>
      <c r="X65" s="7"/>
      <c r="Y65" s="7"/>
    </row>
    <row r="66" spans="1:25" s="7" customFormat="1" ht="24" customHeight="1" x14ac:dyDescent="0.4">
      <c r="B66" s="8"/>
      <c r="C66" s="8"/>
      <c r="D66" s="8"/>
      <c r="E66" s="8"/>
      <c r="F66" s="8"/>
      <c r="G66" s="8"/>
      <c r="H66" s="8"/>
      <c r="I66" s="39"/>
      <c r="J66" s="5"/>
      <c r="K66" s="5"/>
      <c r="L66" s="5"/>
      <c r="M66" s="4"/>
      <c r="N66" s="5"/>
      <c r="O66" s="4"/>
      <c r="P66" s="4"/>
      <c r="Q66" s="8"/>
      <c r="R66" s="8"/>
      <c r="S66" s="8"/>
    </row>
    <row r="67" spans="1:25" s="7" customFormat="1" ht="24" customHeight="1" x14ac:dyDescent="0.4">
      <c r="B67" s="8"/>
      <c r="C67" s="8"/>
      <c r="D67" s="8"/>
      <c r="E67" s="8"/>
      <c r="F67" s="8"/>
      <c r="G67" s="8"/>
      <c r="H67" s="8"/>
      <c r="I67" s="39"/>
      <c r="J67" s="5"/>
      <c r="K67" s="5"/>
      <c r="L67" s="5"/>
      <c r="M67" s="4"/>
      <c r="N67" s="5"/>
      <c r="O67" s="4"/>
      <c r="P67" s="4"/>
      <c r="Q67" s="8"/>
      <c r="R67" s="8"/>
      <c r="S67" s="8"/>
    </row>
    <row r="68" spans="1:25" s="8" customFormat="1" ht="26.4" x14ac:dyDescent="0.4">
      <c r="A68" s="42" t="s">
        <v>33</v>
      </c>
      <c r="G68" s="38"/>
      <c r="I68" s="4"/>
      <c r="J68" s="5"/>
      <c r="K68" s="5"/>
      <c r="L68" s="5"/>
      <c r="M68" s="43"/>
      <c r="N68" s="5"/>
      <c r="O68" s="4"/>
      <c r="P68" s="4"/>
    </row>
    <row r="69" spans="1:25" s="8" customFormat="1" ht="26.4" x14ac:dyDescent="0.4">
      <c r="A69" s="31" t="s">
        <v>60</v>
      </c>
      <c r="I69" s="4"/>
      <c r="J69" s="5"/>
      <c r="K69" s="5"/>
      <c r="L69" s="5"/>
      <c r="M69" s="4"/>
      <c r="N69" s="5"/>
      <c r="O69" s="4"/>
      <c r="P69" s="4"/>
    </row>
    <row r="70" spans="1:25" s="8" customFormat="1" ht="26.4" x14ac:dyDescent="0.4">
      <c r="A70" s="42" t="s">
        <v>68</v>
      </c>
      <c r="I70" s="4"/>
      <c r="J70" s="5"/>
      <c r="K70" s="5"/>
      <c r="L70" s="5"/>
      <c r="M70" s="4"/>
      <c r="N70" s="5"/>
      <c r="O70" s="4"/>
      <c r="P70" s="4"/>
    </row>
    <row r="71" spans="1:25" s="7" customFormat="1" ht="26.4" x14ac:dyDescent="0.4">
      <c r="A71" s="42" t="s">
        <v>61</v>
      </c>
      <c r="B71" s="8"/>
      <c r="C71" s="8"/>
      <c r="D71" s="8"/>
      <c r="E71" s="8"/>
      <c r="F71" s="8"/>
      <c r="G71" s="8"/>
      <c r="H71" s="8"/>
      <c r="I71" s="4"/>
      <c r="J71" s="5"/>
      <c r="K71" s="5"/>
      <c r="L71" s="5"/>
      <c r="M71" s="4"/>
      <c r="N71" s="5"/>
      <c r="O71" s="6"/>
      <c r="P71" s="6"/>
    </row>
    <row r="72" spans="1:25" ht="27" x14ac:dyDescent="0.45">
      <c r="A72" s="42" t="s">
        <v>34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7" customHeight="1" x14ac:dyDescent="0.45">
      <c r="A73" s="42" t="s">
        <v>69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4"/>
      <c r="N73" s="5"/>
      <c r="O73" s="6"/>
      <c r="P73" s="6"/>
      <c r="Q73" s="7"/>
      <c r="R73" s="7"/>
      <c r="S73" s="7"/>
      <c r="T73" s="7"/>
      <c r="U73" s="7"/>
      <c r="V73" s="7"/>
      <c r="W73" s="7"/>
      <c r="X73" s="7"/>
      <c r="Y73" s="7"/>
    </row>
    <row r="74" spans="1:25" ht="27" x14ac:dyDescent="0.45">
      <c r="A74" s="42" t="s">
        <v>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4"/>
      <c r="N74" s="5"/>
      <c r="O74" s="6"/>
      <c r="P74" s="6"/>
      <c r="Q74" s="7"/>
      <c r="R74" s="7"/>
      <c r="S74" s="7"/>
      <c r="T74" s="7"/>
      <c r="U74" s="7"/>
      <c r="V74" s="7"/>
      <c r="W74" s="7"/>
      <c r="X74" s="7"/>
      <c r="Y74" s="7"/>
    </row>
    <row r="75" spans="1:25" ht="21.75" customHeight="1" x14ac:dyDescent="0.4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6"/>
      <c r="N75" s="53"/>
      <c r="O75" s="6"/>
      <c r="P75" s="6"/>
      <c r="Q75" s="7"/>
      <c r="R75" s="7"/>
      <c r="S75" s="7"/>
      <c r="T75" s="7"/>
      <c r="U75" s="7"/>
      <c r="V75" s="7"/>
      <c r="W75" s="7"/>
      <c r="X75" s="7"/>
      <c r="Y75" s="7"/>
    </row>
    <row r="76" spans="1:25" ht="21.75" customHeight="1" x14ac:dyDescent="0.4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6"/>
      <c r="N76" s="53"/>
      <c r="O76" s="6"/>
      <c r="P76" s="6"/>
      <c r="Q76" s="7"/>
      <c r="R76" s="7"/>
      <c r="S76" s="7"/>
      <c r="T76" s="7"/>
      <c r="U76" s="7"/>
      <c r="V76" s="7"/>
      <c r="W76" s="7"/>
      <c r="X76" s="7"/>
      <c r="Y76" s="7"/>
    </row>
    <row r="77" spans="1:25" ht="21.75" customHeight="1" x14ac:dyDescent="0.4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5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.75" customHeight="1" x14ac:dyDescent="0.4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5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.75" customHeight="1" x14ac:dyDescent="0.4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.75" customHeight="1" x14ac:dyDescent="0.4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5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.75" customHeight="1" x14ac:dyDescent="0.45">
      <c r="A81" s="7"/>
      <c r="B81" s="95"/>
      <c r="C81" s="95"/>
      <c r="D81" s="95"/>
      <c r="E81" s="95"/>
      <c r="F81" s="6"/>
      <c r="G81" s="6"/>
      <c r="H81" s="95"/>
      <c r="I81" s="95"/>
      <c r="J81" s="95"/>
      <c r="K81" s="95"/>
      <c r="L81" s="95"/>
      <c r="M81" s="95"/>
      <c r="N81" s="95"/>
      <c r="O81" s="95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.75" customHeight="1" x14ac:dyDescent="0.45">
      <c r="A82" s="6"/>
      <c r="B82" s="6"/>
      <c r="C82" s="44"/>
      <c r="D82" s="45"/>
      <c r="E82" s="45"/>
      <c r="F82" s="6"/>
      <c r="G82" s="6"/>
      <c r="H82" s="6"/>
      <c r="I82" s="6"/>
      <c r="J82" s="6"/>
      <c r="K82" s="6"/>
      <c r="L82" s="6"/>
      <c r="M82" s="44"/>
      <c r="N82" s="45"/>
      <c r="O82" s="45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.75" customHeight="1" x14ac:dyDescent="0.45">
      <c r="A83" s="6"/>
      <c r="B83" s="6"/>
      <c r="C83" s="46"/>
      <c r="D83" s="45"/>
      <c r="E83" s="6"/>
      <c r="F83" s="6"/>
      <c r="G83" s="6"/>
      <c r="H83" s="6"/>
      <c r="I83" s="6"/>
      <c r="J83" s="6"/>
      <c r="K83" s="6"/>
      <c r="L83" s="6"/>
      <c r="M83" s="46"/>
      <c r="N83" s="45"/>
      <c r="O83" s="41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.75" customHeight="1" x14ac:dyDescent="0.45">
      <c r="A84" s="6"/>
      <c r="B84" s="6"/>
      <c r="C84" s="46"/>
      <c r="D84" s="45"/>
      <c r="E84" s="6"/>
      <c r="F84" s="6"/>
      <c r="G84" s="6"/>
      <c r="H84" s="6"/>
      <c r="I84" s="6"/>
      <c r="J84" s="6"/>
      <c r="K84" s="6"/>
      <c r="L84" s="6"/>
      <c r="M84" s="46"/>
      <c r="N84" s="45"/>
      <c r="O84" s="41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.75" customHeight="1" x14ac:dyDescent="0.45">
      <c r="A85" s="6"/>
      <c r="B85" s="6"/>
      <c r="C85" s="46"/>
      <c r="D85" s="45"/>
      <c r="E85" s="6"/>
      <c r="F85" s="6"/>
      <c r="G85" s="6"/>
      <c r="H85" s="6"/>
      <c r="I85" s="6"/>
      <c r="J85" s="6"/>
      <c r="K85" s="6"/>
      <c r="L85" s="6"/>
      <c r="M85" s="46"/>
      <c r="N85" s="45"/>
      <c r="O85" s="41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.75" customHeight="1" x14ac:dyDescent="0.45">
      <c r="A86" s="6"/>
      <c r="B86" s="6"/>
      <c r="C86" s="46"/>
      <c r="D86" s="45"/>
      <c r="E86" s="6"/>
      <c r="F86" s="6"/>
      <c r="G86" s="6"/>
      <c r="H86" s="6"/>
      <c r="I86" s="6"/>
      <c r="J86" s="6"/>
      <c r="K86" s="6"/>
      <c r="L86" s="6"/>
      <c r="M86" s="46"/>
      <c r="N86" s="45"/>
      <c r="O86" s="41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.75" customHeight="1" x14ac:dyDescent="0.45">
      <c r="A87" s="6"/>
      <c r="B87" s="6"/>
      <c r="C87" s="46"/>
      <c r="D87" s="45"/>
      <c r="E87" s="41"/>
      <c r="F87" s="6"/>
      <c r="G87" s="6"/>
      <c r="H87" s="6"/>
      <c r="I87" s="6"/>
      <c r="J87" s="6"/>
      <c r="K87" s="6"/>
      <c r="L87" s="6"/>
      <c r="M87" s="46"/>
      <c r="N87" s="45"/>
      <c r="O87" s="41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.75" customHeight="1" x14ac:dyDescent="0.45">
      <c r="A88" s="6"/>
      <c r="B88" s="6"/>
      <c r="C88" s="6"/>
      <c r="D88" s="6"/>
      <c r="E88" s="6"/>
      <c r="F88" s="6"/>
      <c r="G88" s="6"/>
      <c r="H88" s="7"/>
      <c r="I88" s="7"/>
      <c r="J88" s="7"/>
      <c r="K88" s="7"/>
      <c r="L88" s="7"/>
      <c r="M88" s="7"/>
      <c r="N88" s="15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.75" customHeight="1" x14ac:dyDescent="0.45">
      <c r="A89" s="6"/>
      <c r="B89" s="47"/>
      <c r="C89" s="47"/>
      <c r="D89" s="47"/>
      <c r="E89" s="47"/>
      <c r="F89" s="6"/>
      <c r="G89" s="6"/>
      <c r="H89" s="7"/>
      <c r="I89" s="7"/>
      <c r="J89" s="7"/>
      <c r="K89" s="7"/>
      <c r="L89" s="7"/>
      <c r="M89" s="7"/>
      <c r="N89" s="15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.75" customHeight="1" x14ac:dyDescent="0.45">
      <c r="A90" s="6"/>
      <c r="B90" s="6"/>
      <c r="C90" s="44"/>
      <c r="D90" s="45"/>
      <c r="E90" s="45"/>
      <c r="F90" s="6"/>
      <c r="G90" s="6"/>
      <c r="H90" s="7"/>
      <c r="I90" s="7"/>
      <c r="J90" s="7"/>
      <c r="K90" s="7"/>
      <c r="L90" s="7"/>
      <c r="M90" s="7"/>
      <c r="N90" s="15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.75" customHeight="1" x14ac:dyDescent="0.45">
      <c r="A91" s="6"/>
      <c r="B91" s="6"/>
      <c r="C91" s="46"/>
      <c r="D91" s="45"/>
      <c r="E91" s="41"/>
      <c r="F91" s="41"/>
      <c r="G91" s="6"/>
      <c r="H91" s="7"/>
      <c r="I91" s="7"/>
      <c r="J91" s="7"/>
      <c r="K91" s="7"/>
      <c r="L91" s="7"/>
      <c r="M91" s="7"/>
      <c r="N91" s="15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.75" customHeight="1" x14ac:dyDescent="0.45">
      <c r="A92" s="6"/>
      <c r="B92" s="6"/>
      <c r="C92" s="46"/>
      <c r="D92" s="45"/>
      <c r="E92" s="41"/>
      <c r="F92" s="41"/>
      <c r="G92" s="6"/>
      <c r="H92" s="7"/>
      <c r="I92" s="7"/>
      <c r="J92" s="7"/>
      <c r="K92" s="7"/>
      <c r="L92" s="7"/>
      <c r="M92" s="7"/>
      <c r="N92" s="15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.75" customHeight="1" x14ac:dyDescent="0.45">
      <c r="A93" s="6"/>
      <c r="B93" s="6"/>
      <c r="C93" s="46"/>
      <c r="D93" s="45"/>
      <c r="E93" s="41"/>
      <c r="F93" s="41"/>
      <c r="G93" s="6"/>
      <c r="H93" s="7"/>
      <c r="I93" s="7"/>
      <c r="J93" s="7"/>
      <c r="K93" s="7"/>
      <c r="L93" s="7"/>
      <c r="M93" s="7"/>
      <c r="N93" s="15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.75" customHeight="1" x14ac:dyDescent="0.45">
      <c r="A94" s="6"/>
      <c r="B94" s="6"/>
      <c r="C94" s="46"/>
      <c r="D94" s="45"/>
      <c r="E94" s="41"/>
      <c r="F94" s="41"/>
      <c r="G94" s="6"/>
      <c r="H94" s="7"/>
      <c r="I94" s="7"/>
      <c r="J94" s="7"/>
      <c r="K94" s="7"/>
      <c r="L94" s="7"/>
      <c r="M94" s="7"/>
      <c r="N94" s="15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.75" customHeight="1" x14ac:dyDescent="0.45">
      <c r="A95" s="6"/>
      <c r="B95" s="6"/>
      <c r="C95" s="46"/>
      <c r="D95" s="45"/>
      <c r="E95" s="41"/>
      <c r="F95" s="48"/>
      <c r="G95" s="6"/>
      <c r="H95" s="7"/>
      <c r="I95" s="7"/>
      <c r="J95" s="7"/>
      <c r="K95" s="7"/>
      <c r="L95" s="7"/>
      <c r="M95" s="7"/>
      <c r="N95" s="15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.75" customHeight="1" x14ac:dyDescent="0.45">
      <c r="A96" s="6"/>
      <c r="B96" s="6"/>
      <c r="C96" s="6"/>
      <c r="D96" s="6"/>
      <c r="E96" s="6"/>
      <c r="F96" s="6"/>
      <c r="G96" s="6"/>
      <c r="H96" s="7"/>
      <c r="I96" s="7"/>
      <c r="J96" s="7"/>
      <c r="K96" s="7"/>
      <c r="L96" s="7"/>
      <c r="M96" s="7"/>
      <c r="N96" s="15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.75" customHeight="1" x14ac:dyDescent="0.45">
      <c r="A97" s="6"/>
      <c r="B97" s="6"/>
      <c r="C97" s="6"/>
      <c r="D97" s="6"/>
      <c r="E97" s="6"/>
      <c r="F97" s="6"/>
      <c r="G97" s="6"/>
      <c r="H97" s="7"/>
      <c r="I97" s="7"/>
      <c r="J97" s="7"/>
      <c r="K97" s="7"/>
      <c r="L97" s="7"/>
      <c r="M97" s="7"/>
      <c r="N97" s="15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.75" customHeight="1" x14ac:dyDescent="0.45">
      <c r="A98" s="6"/>
      <c r="B98" s="6"/>
      <c r="C98" s="6"/>
      <c r="D98" s="6"/>
      <c r="E98" s="6"/>
      <c r="F98" s="6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.75" customHeight="1" x14ac:dyDescent="0.45">
      <c r="A99" s="6"/>
      <c r="B99" s="6"/>
      <c r="C99" s="6"/>
      <c r="D99" s="6"/>
      <c r="E99" s="6"/>
      <c r="F99" s="6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.75" customHeight="1" x14ac:dyDescent="0.45">
      <c r="A100" s="6"/>
      <c r="B100" s="6"/>
      <c r="C100" s="6"/>
      <c r="D100" s="6"/>
      <c r="E100" s="6"/>
      <c r="F100" s="6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.75" customHeight="1" x14ac:dyDescent="0.45">
      <c r="A101" s="6"/>
      <c r="B101" s="6"/>
      <c r="C101" s="49"/>
      <c r="D101" s="49"/>
      <c r="E101" s="49"/>
      <c r="F101" s="49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.75" customHeight="1" x14ac:dyDescent="0.45">
      <c r="A102" s="6"/>
      <c r="B102" s="6"/>
      <c r="C102" s="49"/>
      <c r="D102" s="49"/>
      <c r="E102" s="49"/>
      <c r="F102" s="49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.75" customHeight="1" x14ac:dyDescent="0.45">
      <c r="A103" s="6"/>
      <c r="B103" s="6"/>
      <c r="C103" s="49"/>
      <c r="D103" s="49"/>
      <c r="E103" s="49"/>
      <c r="F103" s="49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.75" customHeight="1" x14ac:dyDescent="0.45">
      <c r="A104" s="6"/>
      <c r="B104" s="6"/>
      <c r="C104" s="49"/>
      <c r="D104" s="49"/>
      <c r="E104" s="49"/>
      <c r="F104" s="49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.75" customHeight="1" x14ac:dyDescent="0.45">
      <c r="A105" s="6"/>
      <c r="B105" s="6"/>
      <c r="C105" s="49"/>
      <c r="D105" s="49"/>
      <c r="E105" s="49"/>
      <c r="F105" s="49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.75" customHeight="1" x14ac:dyDescent="0.45">
      <c r="A106" s="6"/>
      <c r="B106" s="6"/>
      <c r="C106" s="6"/>
      <c r="D106" s="6"/>
      <c r="E106" s="6"/>
      <c r="F106" s="6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.75" customHeight="1" x14ac:dyDescent="0.45">
      <c r="A107" s="6"/>
      <c r="B107" s="6"/>
      <c r="C107" s="41"/>
      <c r="D107" s="41"/>
      <c r="E107" s="41"/>
      <c r="F107" s="6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.75" customHeight="1" x14ac:dyDescent="0.45">
      <c r="A108" s="6"/>
      <c r="B108" s="6"/>
      <c r="C108" s="6"/>
      <c r="D108" s="6"/>
      <c r="E108" s="6"/>
      <c r="F108" s="6"/>
      <c r="G108" s="6"/>
      <c r="H108" s="7"/>
      <c r="I108" s="7"/>
      <c r="J108" s="7"/>
      <c r="K108" s="7"/>
      <c r="L108" s="7"/>
      <c r="M108" s="7"/>
      <c r="N108" s="15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.75" customHeight="1" x14ac:dyDescent="0.45">
      <c r="A109" s="6"/>
      <c r="B109" s="6"/>
      <c r="C109" s="6"/>
      <c r="D109" s="6"/>
      <c r="E109" s="6"/>
      <c r="F109" s="6"/>
      <c r="G109" s="6"/>
      <c r="H109" s="7"/>
      <c r="I109" s="7"/>
      <c r="J109" s="7"/>
      <c r="K109" s="7"/>
      <c r="L109" s="7"/>
      <c r="M109" s="7"/>
      <c r="N109" s="15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.75" customHeight="1" x14ac:dyDescent="0.45">
      <c r="A110" s="6"/>
      <c r="B110" s="6"/>
      <c r="C110" s="6"/>
      <c r="D110" s="6"/>
      <c r="E110" s="6"/>
      <c r="F110" s="6"/>
      <c r="G110" s="6"/>
      <c r="H110" s="7"/>
      <c r="I110" s="7"/>
      <c r="J110" s="7"/>
      <c r="K110" s="7"/>
      <c r="L110" s="7"/>
      <c r="M110" s="7"/>
      <c r="N110" s="15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.75" customHeight="1" x14ac:dyDescent="0.45">
      <c r="A111" s="6"/>
      <c r="B111" s="6"/>
      <c r="C111" s="6"/>
      <c r="D111" s="6"/>
      <c r="E111" s="6"/>
      <c r="F111" s="6"/>
      <c r="G111" s="6"/>
      <c r="H111" s="50"/>
      <c r="I111" s="50"/>
      <c r="J111" s="50"/>
      <c r="K111" s="50"/>
      <c r="L111" s="50"/>
      <c r="M111" s="50"/>
      <c r="N111" s="50"/>
      <c r="O111" s="50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.75" customHeight="1" x14ac:dyDescent="0.45">
      <c r="A112" s="6"/>
      <c r="B112" s="6"/>
      <c r="C112" s="49"/>
      <c r="D112" s="49"/>
      <c r="E112" s="49"/>
      <c r="F112" s="6"/>
      <c r="G112" s="6"/>
      <c r="H112" s="7"/>
      <c r="I112" s="7"/>
      <c r="J112" s="7"/>
      <c r="K112" s="7"/>
      <c r="L112" s="7"/>
      <c r="M112" s="7"/>
      <c r="N112" s="15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.75" customHeight="1" x14ac:dyDescent="0.45">
      <c r="A113" s="6"/>
      <c r="B113" s="6"/>
      <c r="C113" s="49"/>
      <c r="D113" s="49"/>
      <c r="E113" s="49"/>
      <c r="F113" s="6"/>
      <c r="G113" s="6"/>
      <c r="H113" s="7"/>
      <c r="I113" s="7"/>
      <c r="J113" s="7"/>
      <c r="K113" s="7"/>
      <c r="L113" s="7"/>
      <c r="M113" s="7"/>
      <c r="N113" s="15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.75" customHeight="1" x14ac:dyDescent="0.45">
      <c r="A114" s="6"/>
      <c r="B114" s="6"/>
      <c r="C114" s="49"/>
      <c r="D114" s="49"/>
      <c r="E114" s="49"/>
      <c r="F114" s="6"/>
      <c r="G114" s="6"/>
      <c r="H114" s="7"/>
      <c r="I114" s="7"/>
      <c r="J114" s="7"/>
      <c r="K114" s="7"/>
      <c r="L114" s="7"/>
      <c r="M114" s="7"/>
      <c r="N114" s="15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1.75" customHeight="1" x14ac:dyDescent="0.45">
      <c r="A115" s="6"/>
      <c r="B115" s="6"/>
      <c r="C115" s="49"/>
      <c r="D115" s="49"/>
      <c r="E115" s="49"/>
      <c r="F115" s="6"/>
      <c r="G115" s="6"/>
      <c r="H115" s="7"/>
      <c r="I115" s="7"/>
      <c r="J115" s="7"/>
      <c r="K115" s="7"/>
      <c r="L115" s="7"/>
      <c r="M115" s="7"/>
      <c r="N115" s="15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.75" customHeight="1" x14ac:dyDescent="0.45">
      <c r="A116" s="6"/>
      <c r="B116" s="6"/>
      <c r="C116" s="49"/>
      <c r="D116" s="49"/>
      <c r="E116" s="49"/>
      <c r="F116" s="6"/>
      <c r="G116" s="6"/>
      <c r="H116" s="7"/>
      <c r="I116" s="7"/>
      <c r="J116" s="7"/>
      <c r="K116" s="7"/>
      <c r="L116" s="7"/>
      <c r="M116" s="7"/>
      <c r="N116" s="15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.75" customHeight="1" x14ac:dyDescent="0.45">
      <c r="A117" s="6"/>
      <c r="B117" s="6"/>
      <c r="C117" s="6"/>
      <c r="D117" s="6"/>
      <c r="E117" s="6"/>
      <c r="F117" s="6"/>
      <c r="G117" s="6"/>
      <c r="H117" s="7"/>
      <c r="I117" s="7"/>
      <c r="J117" s="7"/>
      <c r="K117" s="7"/>
      <c r="L117" s="7"/>
      <c r="M117" s="7"/>
      <c r="N117" s="15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.75" customHeight="1" x14ac:dyDescent="0.45">
      <c r="A118" s="6"/>
      <c r="B118" s="6"/>
      <c r="C118" s="41"/>
      <c r="D118" s="41"/>
      <c r="E118" s="41"/>
      <c r="F118" s="6"/>
      <c r="G118" s="6"/>
      <c r="H118" s="7"/>
      <c r="I118" s="7"/>
      <c r="J118" s="7"/>
      <c r="K118" s="7"/>
      <c r="L118" s="7"/>
      <c r="M118" s="7"/>
      <c r="N118" s="15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.75" customHeight="1" x14ac:dyDescent="0.45">
      <c r="A119" s="6"/>
      <c r="B119" s="6"/>
      <c r="C119" s="6"/>
      <c r="D119" s="6"/>
      <c r="E119" s="6"/>
      <c r="F119" s="6"/>
      <c r="G119" s="6"/>
      <c r="H119" s="7"/>
      <c r="I119" s="7"/>
      <c r="J119" s="7"/>
      <c r="K119" s="7"/>
      <c r="L119" s="7"/>
      <c r="M119" s="7"/>
      <c r="N119" s="15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.75" customHeight="1" x14ac:dyDescent="0.45">
      <c r="A120" s="6"/>
      <c r="B120" s="6"/>
      <c r="C120" s="6"/>
      <c r="D120" s="6"/>
      <c r="E120" s="6"/>
      <c r="F120" s="6"/>
      <c r="G120" s="6"/>
      <c r="H120" s="7"/>
      <c r="I120" s="7"/>
      <c r="J120" s="7"/>
      <c r="K120" s="7"/>
      <c r="L120" s="7"/>
      <c r="M120" s="7"/>
      <c r="N120" s="15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.75" customHeight="1" x14ac:dyDescent="0.4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5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.75" customHeight="1" x14ac:dyDescent="0.4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5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.75" customHeight="1" x14ac:dyDescent="0.4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5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.75" customHeight="1" x14ac:dyDescent="0.4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5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.75" customHeight="1" x14ac:dyDescent="0.4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5"/>
      <c r="O125" s="7"/>
      <c r="P125" s="7"/>
      <c r="Q125" s="7"/>
      <c r="R125" s="7"/>
      <c r="S125" s="7"/>
    </row>
    <row r="126" spans="1:25" ht="21.75" customHeight="1" x14ac:dyDescent="0.4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5"/>
      <c r="O126" s="7"/>
      <c r="P126" s="7"/>
      <c r="Q126" s="7"/>
      <c r="R126" s="7"/>
      <c r="S126" s="7"/>
    </row>
    <row r="127" spans="1:25" ht="21.75" customHeight="1" x14ac:dyDescent="0.4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5"/>
      <c r="O127" s="7"/>
      <c r="P127" s="7"/>
      <c r="Q127" s="7"/>
      <c r="R127" s="7"/>
      <c r="S127" s="7"/>
    </row>
    <row r="128" spans="1:25" ht="21.75" customHeight="1" x14ac:dyDescent="0.4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5"/>
      <c r="O128" s="7"/>
      <c r="P128" s="7"/>
      <c r="Q128" s="7"/>
      <c r="R128" s="7"/>
      <c r="S128" s="7"/>
    </row>
    <row r="129" spans="1:19" ht="21.75" customHeight="1" x14ac:dyDescent="0.4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5"/>
      <c r="O129" s="7"/>
      <c r="P129" s="7"/>
      <c r="Q129" s="7"/>
      <c r="R129" s="7"/>
      <c r="S129" s="7"/>
    </row>
    <row r="130" spans="1:19" ht="21.75" customHeight="1" x14ac:dyDescent="0.4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5"/>
      <c r="O130" s="7"/>
      <c r="P130" s="7"/>
      <c r="Q130" s="7"/>
      <c r="R130" s="7"/>
      <c r="S130" s="7"/>
    </row>
    <row r="131" spans="1:19" ht="21.75" customHeight="1" x14ac:dyDescent="0.4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5"/>
      <c r="O131" s="7"/>
      <c r="P131" s="7"/>
      <c r="Q131" s="7"/>
      <c r="R131" s="7"/>
      <c r="S131" s="7"/>
    </row>
    <row r="132" spans="1:19" ht="21.75" customHeight="1" x14ac:dyDescent="0.4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5"/>
      <c r="O132" s="7"/>
      <c r="P132" s="7"/>
      <c r="Q132" s="7"/>
      <c r="R132" s="7"/>
      <c r="S132" s="7"/>
    </row>
    <row r="133" spans="1:19" ht="21.75" customHeight="1" x14ac:dyDescent="0.4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5"/>
      <c r="O133" s="7"/>
      <c r="P133" s="7"/>
      <c r="Q133" s="7"/>
      <c r="R133" s="7"/>
      <c r="S133" s="7"/>
    </row>
    <row r="134" spans="1:19" ht="21.75" customHeight="1" x14ac:dyDescent="0.4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5"/>
      <c r="O134" s="7"/>
      <c r="P134" s="7"/>
      <c r="Q134" s="7"/>
      <c r="R134" s="7"/>
      <c r="S134" s="7"/>
    </row>
    <row r="135" spans="1:19" ht="21.75" customHeight="1" x14ac:dyDescent="0.4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5"/>
      <c r="O135" s="7"/>
      <c r="P135" s="7"/>
      <c r="Q135" s="7"/>
      <c r="R135" s="7"/>
      <c r="S135" s="7"/>
    </row>
    <row r="136" spans="1:19" ht="21.75" customHeight="1" x14ac:dyDescent="0.4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5"/>
      <c r="O136" s="7"/>
      <c r="P136" s="7"/>
      <c r="Q136" s="7"/>
      <c r="R136" s="7"/>
      <c r="S136" s="7"/>
    </row>
    <row r="137" spans="1:19" ht="21.75" customHeight="1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5"/>
      <c r="O137" s="7"/>
      <c r="P137" s="7"/>
      <c r="Q137" s="7"/>
      <c r="R137" s="7"/>
      <c r="S137" s="7"/>
    </row>
    <row r="138" spans="1:19" ht="21.75" customHeight="1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5"/>
      <c r="O138" s="7"/>
      <c r="P138" s="7"/>
      <c r="Q138" s="7"/>
      <c r="R138" s="7"/>
      <c r="S138" s="7"/>
    </row>
    <row r="139" spans="1:19" ht="21.75" customHeight="1" x14ac:dyDescent="0.4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5"/>
      <c r="O139" s="7"/>
      <c r="P139" s="7"/>
      <c r="Q139" s="7"/>
      <c r="R139" s="7"/>
      <c r="S139" s="7"/>
    </row>
    <row r="140" spans="1:19" ht="21.75" customHeight="1" x14ac:dyDescent="0.4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5"/>
      <c r="O140" s="7"/>
      <c r="P140" s="7"/>
      <c r="Q140" s="7"/>
      <c r="R140" s="7"/>
      <c r="S140" s="7"/>
    </row>
    <row r="141" spans="1:19" ht="21.75" customHeight="1" x14ac:dyDescent="0.4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5"/>
      <c r="O141" s="7"/>
      <c r="P141" s="7"/>
      <c r="Q141" s="7"/>
      <c r="R141" s="7"/>
      <c r="S141" s="7"/>
    </row>
    <row r="142" spans="1:19" ht="21.75" customHeight="1" x14ac:dyDescent="0.4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5"/>
      <c r="O142" s="7"/>
      <c r="P142" s="7"/>
      <c r="Q142" s="7"/>
      <c r="R142" s="7"/>
      <c r="S142" s="7"/>
    </row>
    <row r="143" spans="1:19" ht="21.75" customHeight="1" x14ac:dyDescent="0.4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5"/>
      <c r="O143" s="7"/>
      <c r="P143" s="7"/>
      <c r="Q143" s="7"/>
      <c r="R143" s="7"/>
      <c r="S143" s="7"/>
    </row>
    <row r="144" spans="1:19" ht="21.75" customHeight="1" x14ac:dyDescent="0.4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5"/>
      <c r="O144" s="7"/>
      <c r="P144" s="7"/>
      <c r="Q144" s="7"/>
      <c r="R144" s="7"/>
      <c r="S144" s="7"/>
    </row>
    <row r="145" spans="1:19" ht="21.75" customHeight="1" x14ac:dyDescent="0.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5"/>
      <c r="O145" s="7"/>
      <c r="P145" s="7"/>
      <c r="Q145" s="7"/>
      <c r="R145" s="7"/>
      <c r="S145" s="7"/>
    </row>
    <row r="146" spans="1:19" ht="21.75" customHeight="1" x14ac:dyDescent="0.4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5"/>
      <c r="O146" s="7"/>
      <c r="P146" s="7"/>
      <c r="Q146" s="7"/>
      <c r="R146" s="7"/>
      <c r="S146" s="7"/>
    </row>
    <row r="147" spans="1:19" ht="21.75" customHeight="1" x14ac:dyDescent="0.4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5"/>
      <c r="O147" s="7"/>
      <c r="P147" s="7"/>
      <c r="Q147" s="7"/>
      <c r="R147" s="7"/>
      <c r="S147" s="7"/>
    </row>
    <row r="148" spans="1:19" ht="21.75" customHeight="1" x14ac:dyDescent="0.4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5"/>
      <c r="O148" s="7"/>
      <c r="P148" s="7"/>
      <c r="Q148" s="7"/>
      <c r="R148" s="7"/>
      <c r="S148" s="7"/>
    </row>
    <row r="149" spans="1:19" ht="21.75" customHeight="1" x14ac:dyDescent="0.4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5"/>
      <c r="O149" s="7"/>
      <c r="P149" s="7"/>
      <c r="Q149" s="7"/>
      <c r="R149" s="7"/>
      <c r="S149" s="7"/>
    </row>
    <row r="150" spans="1:19" ht="21.75" customHeight="1" x14ac:dyDescent="0.4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5"/>
      <c r="O150" s="7"/>
      <c r="P150" s="7"/>
      <c r="Q150" s="7"/>
      <c r="R150" s="7"/>
      <c r="S150" s="7"/>
    </row>
    <row r="151" spans="1:19" ht="21.75" customHeight="1" x14ac:dyDescent="0.4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5"/>
      <c r="O151" s="7"/>
      <c r="P151" s="7"/>
      <c r="Q151" s="7"/>
      <c r="R151" s="7"/>
      <c r="S151" s="7"/>
    </row>
    <row r="152" spans="1:19" ht="21.75" customHeight="1" x14ac:dyDescent="0.4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5"/>
      <c r="O152" s="7"/>
      <c r="P152" s="7"/>
      <c r="Q152" s="7"/>
      <c r="R152" s="7"/>
      <c r="S152" s="7"/>
    </row>
    <row r="153" spans="1:19" ht="21.75" customHeight="1" x14ac:dyDescent="0.4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5"/>
      <c r="O153" s="7"/>
      <c r="P153" s="7"/>
      <c r="Q153" s="7"/>
      <c r="R153" s="7"/>
      <c r="S153" s="7"/>
    </row>
    <row r="154" spans="1:19" ht="21.75" customHeight="1" x14ac:dyDescent="0.4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5"/>
      <c r="O154" s="7"/>
      <c r="P154" s="7"/>
      <c r="Q154" s="7"/>
      <c r="R154" s="7"/>
      <c r="S154" s="7"/>
    </row>
    <row r="155" spans="1:19" ht="21.75" customHeight="1" x14ac:dyDescent="0.4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5"/>
      <c r="O155" s="7"/>
      <c r="P155" s="7"/>
      <c r="Q155" s="7"/>
      <c r="R155" s="7"/>
      <c r="S155" s="7"/>
    </row>
    <row r="156" spans="1:19" ht="21.75" customHeight="1" x14ac:dyDescent="0.4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5"/>
      <c r="O156" s="7"/>
      <c r="P156" s="7"/>
      <c r="Q156" s="7"/>
      <c r="R156" s="7"/>
      <c r="S156" s="7"/>
    </row>
    <row r="157" spans="1:19" ht="21.75" customHeight="1" x14ac:dyDescent="0.4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5"/>
      <c r="O157" s="7"/>
      <c r="P157" s="7"/>
      <c r="Q157" s="7"/>
      <c r="R157" s="7"/>
      <c r="S157" s="7"/>
    </row>
    <row r="158" spans="1:19" ht="21.75" customHeight="1" x14ac:dyDescent="0.4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5"/>
      <c r="O158" s="7"/>
      <c r="P158" s="7"/>
      <c r="Q158" s="7"/>
      <c r="R158" s="7"/>
      <c r="S158" s="7"/>
    </row>
    <row r="159" spans="1:19" ht="21.75" customHeight="1" x14ac:dyDescent="0.4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5"/>
      <c r="O159" s="7"/>
      <c r="P159" s="7"/>
      <c r="Q159" s="7"/>
      <c r="R159" s="7"/>
      <c r="S159" s="7"/>
    </row>
    <row r="160" spans="1:19" x14ac:dyDescent="0.45">
      <c r="A160" s="7"/>
    </row>
  </sheetData>
  <mergeCells count="2">
    <mergeCell ref="B81:E81"/>
    <mergeCell ref="H81:O81"/>
  </mergeCells>
  <hyperlinks>
    <hyperlink ref="M13" r:id="rId1"/>
  </hyperlinks>
  <pageMargins left="0.7" right="0.7" top="0.75" bottom="0.75" header="0.3" footer="0.3"/>
  <pageSetup scale="51" orientation="landscape" r:id="rId2"/>
  <ignoredErrors>
    <ignoredError sqref="K12 K6:K7 I6:I7" formulaRange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22"/>
  <sheetViews>
    <sheetView tabSelected="1" zoomScale="50" zoomScaleNormal="50" workbookViewId="0">
      <pane ySplit="5" topLeftCell="A6" activePane="bottomLeft" state="frozen"/>
      <selection pane="bottomLeft" activeCell="C58" sqref="C58"/>
    </sheetView>
  </sheetViews>
  <sheetFormatPr defaultColWidth="11.33203125" defaultRowHeight="22.8" x14ac:dyDescent="0.4"/>
  <cols>
    <col min="1" max="2" width="11.33203125" style="7"/>
    <col min="3" max="3" width="49.44140625" style="7" customWidth="1"/>
    <col min="4" max="4" width="12.88671875" style="7" bestFit="1" customWidth="1"/>
    <col min="5" max="5" width="14.88671875" style="7" bestFit="1" customWidth="1"/>
    <col min="6" max="6" width="13.6640625" style="7" customWidth="1"/>
    <col min="7" max="7" width="14.33203125" style="7" customWidth="1"/>
    <col min="8" max="8" width="13.44140625" style="7" bestFit="1" customWidth="1"/>
    <col min="9" max="9" width="15.88671875" style="7" bestFit="1" customWidth="1"/>
    <col min="10" max="10" width="13.88671875" style="7" bestFit="1" customWidth="1"/>
    <col min="11" max="11" width="5.5546875" style="7" customWidth="1"/>
    <col min="12" max="12" width="17" style="8" bestFit="1" customWidth="1"/>
    <col min="13" max="13" width="5.5546875" style="8" customWidth="1"/>
    <col min="14" max="14" width="13.5546875" style="7" customWidth="1"/>
    <col min="15" max="15" width="14.88671875" style="7" bestFit="1" customWidth="1"/>
    <col min="16" max="16" width="15.88671875" style="7" customWidth="1"/>
    <col min="17" max="17" width="11.33203125" style="7"/>
    <col min="18" max="18" width="11.44140625" style="7" bestFit="1" customWidth="1"/>
    <col min="19" max="20" width="20.77734375" style="7" customWidth="1"/>
    <col min="21" max="21" width="14.88671875" style="7" customWidth="1"/>
    <col min="22" max="259" width="11.33203125" style="7"/>
    <col min="260" max="260" width="49.109375" style="7" customWidth="1"/>
    <col min="261" max="261" width="11.33203125" style="7" customWidth="1"/>
    <col min="262" max="263" width="11.6640625" style="7" customWidth="1"/>
    <col min="264" max="264" width="12.5546875" style="7" customWidth="1"/>
    <col min="265" max="265" width="11.6640625" style="7" bestFit="1" customWidth="1"/>
    <col min="266" max="267" width="15.6640625" style="7" bestFit="1" customWidth="1"/>
    <col min="268" max="268" width="39.109375" style="7" customWidth="1"/>
    <col min="269" max="269" width="12.6640625" style="7" customWidth="1"/>
    <col min="270" max="270" width="11" style="7" customWidth="1"/>
    <col min="271" max="515" width="11.33203125" style="7"/>
    <col min="516" max="516" width="49.109375" style="7" customWidth="1"/>
    <col min="517" max="517" width="11.33203125" style="7" customWidth="1"/>
    <col min="518" max="519" width="11.6640625" style="7" customWidth="1"/>
    <col min="520" max="520" width="12.5546875" style="7" customWidth="1"/>
    <col min="521" max="521" width="11.6640625" style="7" bestFit="1" customWidth="1"/>
    <col min="522" max="523" width="15.6640625" style="7" bestFit="1" customWidth="1"/>
    <col min="524" max="524" width="39.109375" style="7" customWidth="1"/>
    <col min="525" max="525" width="12.6640625" style="7" customWidth="1"/>
    <col min="526" max="526" width="11" style="7" customWidth="1"/>
    <col min="527" max="771" width="11.33203125" style="7"/>
    <col min="772" max="772" width="49.109375" style="7" customWidth="1"/>
    <col min="773" max="773" width="11.33203125" style="7" customWidth="1"/>
    <col min="774" max="775" width="11.6640625" style="7" customWidth="1"/>
    <col min="776" max="776" width="12.5546875" style="7" customWidth="1"/>
    <col min="777" max="777" width="11.6640625" style="7" bestFit="1" customWidth="1"/>
    <col min="778" max="779" width="15.6640625" style="7" bestFit="1" customWidth="1"/>
    <col min="780" max="780" width="39.109375" style="7" customWidth="1"/>
    <col min="781" max="781" width="12.6640625" style="7" customWidth="1"/>
    <col min="782" max="782" width="11" style="7" customWidth="1"/>
    <col min="783" max="1027" width="11.33203125" style="7"/>
    <col min="1028" max="1028" width="49.109375" style="7" customWidth="1"/>
    <col min="1029" max="1029" width="11.33203125" style="7" customWidth="1"/>
    <col min="1030" max="1031" width="11.6640625" style="7" customWidth="1"/>
    <col min="1032" max="1032" width="12.5546875" style="7" customWidth="1"/>
    <col min="1033" max="1033" width="11.6640625" style="7" bestFit="1" customWidth="1"/>
    <col min="1034" max="1035" width="15.6640625" style="7" bestFit="1" customWidth="1"/>
    <col min="1036" max="1036" width="39.109375" style="7" customWidth="1"/>
    <col min="1037" max="1037" width="12.6640625" style="7" customWidth="1"/>
    <col min="1038" max="1038" width="11" style="7" customWidth="1"/>
    <col min="1039" max="1283" width="11.33203125" style="7"/>
    <col min="1284" max="1284" width="49.109375" style="7" customWidth="1"/>
    <col min="1285" max="1285" width="11.33203125" style="7" customWidth="1"/>
    <col min="1286" max="1287" width="11.6640625" style="7" customWidth="1"/>
    <col min="1288" max="1288" width="12.5546875" style="7" customWidth="1"/>
    <col min="1289" max="1289" width="11.6640625" style="7" bestFit="1" customWidth="1"/>
    <col min="1290" max="1291" width="15.6640625" style="7" bestFit="1" customWidth="1"/>
    <col min="1292" max="1292" width="39.109375" style="7" customWidth="1"/>
    <col min="1293" max="1293" width="12.6640625" style="7" customWidth="1"/>
    <col min="1294" max="1294" width="11" style="7" customWidth="1"/>
    <col min="1295" max="1539" width="11.33203125" style="7"/>
    <col min="1540" max="1540" width="49.109375" style="7" customWidth="1"/>
    <col min="1541" max="1541" width="11.33203125" style="7" customWidth="1"/>
    <col min="1542" max="1543" width="11.6640625" style="7" customWidth="1"/>
    <col min="1544" max="1544" width="12.5546875" style="7" customWidth="1"/>
    <col min="1545" max="1545" width="11.6640625" style="7" bestFit="1" customWidth="1"/>
    <col min="1546" max="1547" width="15.6640625" style="7" bestFit="1" customWidth="1"/>
    <col min="1548" max="1548" width="39.109375" style="7" customWidth="1"/>
    <col min="1549" max="1549" width="12.6640625" style="7" customWidth="1"/>
    <col min="1550" max="1550" width="11" style="7" customWidth="1"/>
    <col min="1551" max="1795" width="11.33203125" style="7"/>
    <col min="1796" max="1796" width="49.109375" style="7" customWidth="1"/>
    <col min="1797" max="1797" width="11.33203125" style="7" customWidth="1"/>
    <col min="1798" max="1799" width="11.6640625" style="7" customWidth="1"/>
    <col min="1800" max="1800" width="12.5546875" style="7" customWidth="1"/>
    <col min="1801" max="1801" width="11.6640625" style="7" bestFit="1" customWidth="1"/>
    <col min="1802" max="1803" width="15.6640625" style="7" bestFit="1" customWidth="1"/>
    <col min="1804" max="1804" width="39.109375" style="7" customWidth="1"/>
    <col min="1805" max="1805" width="12.6640625" style="7" customWidth="1"/>
    <col min="1806" max="1806" width="11" style="7" customWidth="1"/>
    <col min="1807" max="2051" width="11.33203125" style="7"/>
    <col min="2052" max="2052" width="49.109375" style="7" customWidth="1"/>
    <col min="2053" max="2053" width="11.33203125" style="7" customWidth="1"/>
    <col min="2054" max="2055" width="11.6640625" style="7" customWidth="1"/>
    <col min="2056" max="2056" width="12.5546875" style="7" customWidth="1"/>
    <col min="2057" max="2057" width="11.6640625" style="7" bestFit="1" customWidth="1"/>
    <col min="2058" max="2059" width="15.6640625" style="7" bestFit="1" customWidth="1"/>
    <col min="2060" max="2060" width="39.109375" style="7" customWidth="1"/>
    <col min="2061" max="2061" width="12.6640625" style="7" customWidth="1"/>
    <col min="2062" max="2062" width="11" style="7" customWidth="1"/>
    <col min="2063" max="2307" width="11.33203125" style="7"/>
    <col min="2308" max="2308" width="49.109375" style="7" customWidth="1"/>
    <col min="2309" max="2309" width="11.33203125" style="7" customWidth="1"/>
    <col min="2310" max="2311" width="11.6640625" style="7" customWidth="1"/>
    <col min="2312" max="2312" width="12.5546875" style="7" customWidth="1"/>
    <col min="2313" max="2313" width="11.6640625" style="7" bestFit="1" customWidth="1"/>
    <col min="2314" max="2315" width="15.6640625" style="7" bestFit="1" customWidth="1"/>
    <col min="2316" max="2316" width="39.109375" style="7" customWidth="1"/>
    <col min="2317" max="2317" width="12.6640625" style="7" customWidth="1"/>
    <col min="2318" max="2318" width="11" style="7" customWidth="1"/>
    <col min="2319" max="2563" width="11.33203125" style="7"/>
    <col min="2564" max="2564" width="49.109375" style="7" customWidth="1"/>
    <col min="2565" max="2565" width="11.33203125" style="7" customWidth="1"/>
    <col min="2566" max="2567" width="11.6640625" style="7" customWidth="1"/>
    <col min="2568" max="2568" width="12.5546875" style="7" customWidth="1"/>
    <col min="2569" max="2569" width="11.6640625" style="7" bestFit="1" customWidth="1"/>
    <col min="2570" max="2571" width="15.6640625" style="7" bestFit="1" customWidth="1"/>
    <col min="2572" max="2572" width="39.109375" style="7" customWidth="1"/>
    <col min="2573" max="2573" width="12.6640625" style="7" customWidth="1"/>
    <col min="2574" max="2574" width="11" style="7" customWidth="1"/>
    <col min="2575" max="2819" width="11.33203125" style="7"/>
    <col min="2820" max="2820" width="49.109375" style="7" customWidth="1"/>
    <col min="2821" max="2821" width="11.33203125" style="7" customWidth="1"/>
    <col min="2822" max="2823" width="11.6640625" style="7" customWidth="1"/>
    <col min="2824" max="2824" width="12.5546875" style="7" customWidth="1"/>
    <col min="2825" max="2825" width="11.6640625" style="7" bestFit="1" customWidth="1"/>
    <col min="2826" max="2827" width="15.6640625" style="7" bestFit="1" customWidth="1"/>
    <col min="2828" max="2828" width="39.109375" style="7" customWidth="1"/>
    <col min="2829" max="2829" width="12.6640625" style="7" customWidth="1"/>
    <col min="2830" max="2830" width="11" style="7" customWidth="1"/>
    <col min="2831" max="3075" width="11.33203125" style="7"/>
    <col min="3076" max="3076" width="49.109375" style="7" customWidth="1"/>
    <col min="3077" max="3077" width="11.33203125" style="7" customWidth="1"/>
    <col min="3078" max="3079" width="11.6640625" style="7" customWidth="1"/>
    <col min="3080" max="3080" width="12.5546875" style="7" customWidth="1"/>
    <col min="3081" max="3081" width="11.6640625" style="7" bestFit="1" customWidth="1"/>
    <col min="3082" max="3083" width="15.6640625" style="7" bestFit="1" customWidth="1"/>
    <col min="3084" max="3084" width="39.109375" style="7" customWidth="1"/>
    <col min="3085" max="3085" width="12.6640625" style="7" customWidth="1"/>
    <col min="3086" max="3086" width="11" style="7" customWidth="1"/>
    <col min="3087" max="3331" width="11.33203125" style="7"/>
    <col min="3332" max="3332" width="49.109375" style="7" customWidth="1"/>
    <col min="3333" max="3333" width="11.33203125" style="7" customWidth="1"/>
    <col min="3334" max="3335" width="11.6640625" style="7" customWidth="1"/>
    <col min="3336" max="3336" width="12.5546875" style="7" customWidth="1"/>
    <col min="3337" max="3337" width="11.6640625" style="7" bestFit="1" customWidth="1"/>
    <col min="3338" max="3339" width="15.6640625" style="7" bestFit="1" customWidth="1"/>
    <col min="3340" max="3340" width="39.109375" style="7" customWidth="1"/>
    <col min="3341" max="3341" width="12.6640625" style="7" customWidth="1"/>
    <col min="3342" max="3342" width="11" style="7" customWidth="1"/>
    <col min="3343" max="3587" width="11.33203125" style="7"/>
    <col min="3588" max="3588" width="49.109375" style="7" customWidth="1"/>
    <col min="3589" max="3589" width="11.33203125" style="7" customWidth="1"/>
    <col min="3590" max="3591" width="11.6640625" style="7" customWidth="1"/>
    <col min="3592" max="3592" width="12.5546875" style="7" customWidth="1"/>
    <col min="3593" max="3593" width="11.6640625" style="7" bestFit="1" customWidth="1"/>
    <col min="3594" max="3595" width="15.6640625" style="7" bestFit="1" customWidth="1"/>
    <col min="3596" max="3596" width="39.109375" style="7" customWidth="1"/>
    <col min="3597" max="3597" width="12.6640625" style="7" customWidth="1"/>
    <col min="3598" max="3598" width="11" style="7" customWidth="1"/>
    <col min="3599" max="3843" width="11.33203125" style="7"/>
    <col min="3844" max="3844" width="49.109375" style="7" customWidth="1"/>
    <col min="3845" max="3845" width="11.33203125" style="7" customWidth="1"/>
    <col min="3846" max="3847" width="11.6640625" style="7" customWidth="1"/>
    <col min="3848" max="3848" width="12.5546875" style="7" customWidth="1"/>
    <col min="3849" max="3849" width="11.6640625" style="7" bestFit="1" customWidth="1"/>
    <col min="3850" max="3851" width="15.6640625" style="7" bestFit="1" customWidth="1"/>
    <col min="3852" max="3852" width="39.109375" style="7" customWidth="1"/>
    <col min="3853" max="3853" width="12.6640625" style="7" customWidth="1"/>
    <col min="3854" max="3854" width="11" style="7" customWidth="1"/>
    <col min="3855" max="4099" width="11.33203125" style="7"/>
    <col min="4100" max="4100" width="49.109375" style="7" customWidth="1"/>
    <col min="4101" max="4101" width="11.33203125" style="7" customWidth="1"/>
    <col min="4102" max="4103" width="11.6640625" style="7" customWidth="1"/>
    <col min="4104" max="4104" width="12.5546875" style="7" customWidth="1"/>
    <col min="4105" max="4105" width="11.6640625" style="7" bestFit="1" customWidth="1"/>
    <col min="4106" max="4107" width="15.6640625" style="7" bestFit="1" customWidth="1"/>
    <col min="4108" max="4108" width="39.109375" style="7" customWidth="1"/>
    <col min="4109" max="4109" width="12.6640625" style="7" customWidth="1"/>
    <col min="4110" max="4110" width="11" style="7" customWidth="1"/>
    <col min="4111" max="4355" width="11.33203125" style="7"/>
    <col min="4356" max="4356" width="49.109375" style="7" customWidth="1"/>
    <col min="4357" max="4357" width="11.33203125" style="7" customWidth="1"/>
    <col min="4358" max="4359" width="11.6640625" style="7" customWidth="1"/>
    <col min="4360" max="4360" width="12.5546875" style="7" customWidth="1"/>
    <col min="4361" max="4361" width="11.6640625" style="7" bestFit="1" customWidth="1"/>
    <col min="4362" max="4363" width="15.6640625" style="7" bestFit="1" customWidth="1"/>
    <col min="4364" max="4364" width="39.109375" style="7" customWidth="1"/>
    <col min="4365" max="4365" width="12.6640625" style="7" customWidth="1"/>
    <col min="4366" max="4366" width="11" style="7" customWidth="1"/>
    <col min="4367" max="4611" width="11.33203125" style="7"/>
    <col min="4612" max="4612" width="49.109375" style="7" customWidth="1"/>
    <col min="4613" max="4613" width="11.33203125" style="7" customWidth="1"/>
    <col min="4614" max="4615" width="11.6640625" style="7" customWidth="1"/>
    <col min="4616" max="4616" width="12.5546875" style="7" customWidth="1"/>
    <col min="4617" max="4617" width="11.6640625" style="7" bestFit="1" customWidth="1"/>
    <col min="4618" max="4619" width="15.6640625" style="7" bestFit="1" customWidth="1"/>
    <col min="4620" max="4620" width="39.109375" style="7" customWidth="1"/>
    <col min="4621" max="4621" width="12.6640625" style="7" customWidth="1"/>
    <col min="4622" max="4622" width="11" style="7" customWidth="1"/>
    <col min="4623" max="4867" width="11.33203125" style="7"/>
    <col min="4868" max="4868" width="49.109375" style="7" customWidth="1"/>
    <col min="4869" max="4869" width="11.33203125" style="7" customWidth="1"/>
    <col min="4870" max="4871" width="11.6640625" style="7" customWidth="1"/>
    <col min="4872" max="4872" width="12.5546875" style="7" customWidth="1"/>
    <col min="4873" max="4873" width="11.6640625" style="7" bestFit="1" customWidth="1"/>
    <col min="4874" max="4875" width="15.6640625" style="7" bestFit="1" customWidth="1"/>
    <col min="4876" max="4876" width="39.109375" style="7" customWidth="1"/>
    <col min="4877" max="4877" width="12.6640625" style="7" customWidth="1"/>
    <col min="4878" max="4878" width="11" style="7" customWidth="1"/>
    <col min="4879" max="5123" width="11.33203125" style="7"/>
    <col min="5124" max="5124" width="49.109375" style="7" customWidth="1"/>
    <col min="5125" max="5125" width="11.33203125" style="7" customWidth="1"/>
    <col min="5126" max="5127" width="11.6640625" style="7" customWidth="1"/>
    <col min="5128" max="5128" width="12.5546875" style="7" customWidth="1"/>
    <col min="5129" max="5129" width="11.6640625" style="7" bestFit="1" customWidth="1"/>
    <col min="5130" max="5131" width="15.6640625" style="7" bestFit="1" customWidth="1"/>
    <col min="5132" max="5132" width="39.109375" style="7" customWidth="1"/>
    <col min="5133" max="5133" width="12.6640625" style="7" customWidth="1"/>
    <col min="5134" max="5134" width="11" style="7" customWidth="1"/>
    <col min="5135" max="5379" width="11.33203125" style="7"/>
    <col min="5380" max="5380" width="49.109375" style="7" customWidth="1"/>
    <col min="5381" max="5381" width="11.33203125" style="7" customWidth="1"/>
    <col min="5382" max="5383" width="11.6640625" style="7" customWidth="1"/>
    <col min="5384" max="5384" width="12.5546875" style="7" customWidth="1"/>
    <col min="5385" max="5385" width="11.6640625" style="7" bestFit="1" customWidth="1"/>
    <col min="5386" max="5387" width="15.6640625" style="7" bestFit="1" customWidth="1"/>
    <col min="5388" max="5388" width="39.109375" style="7" customWidth="1"/>
    <col min="5389" max="5389" width="12.6640625" style="7" customWidth="1"/>
    <col min="5390" max="5390" width="11" style="7" customWidth="1"/>
    <col min="5391" max="5635" width="11.33203125" style="7"/>
    <col min="5636" max="5636" width="49.109375" style="7" customWidth="1"/>
    <col min="5637" max="5637" width="11.33203125" style="7" customWidth="1"/>
    <col min="5638" max="5639" width="11.6640625" style="7" customWidth="1"/>
    <col min="5640" max="5640" width="12.5546875" style="7" customWidth="1"/>
    <col min="5641" max="5641" width="11.6640625" style="7" bestFit="1" customWidth="1"/>
    <col min="5642" max="5643" width="15.6640625" style="7" bestFit="1" customWidth="1"/>
    <col min="5644" max="5644" width="39.109375" style="7" customWidth="1"/>
    <col min="5645" max="5645" width="12.6640625" style="7" customWidth="1"/>
    <col min="5646" max="5646" width="11" style="7" customWidth="1"/>
    <col min="5647" max="5891" width="11.33203125" style="7"/>
    <col min="5892" max="5892" width="49.109375" style="7" customWidth="1"/>
    <col min="5893" max="5893" width="11.33203125" style="7" customWidth="1"/>
    <col min="5894" max="5895" width="11.6640625" style="7" customWidth="1"/>
    <col min="5896" max="5896" width="12.5546875" style="7" customWidth="1"/>
    <col min="5897" max="5897" width="11.6640625" style="7" bestFit="1" customWidth="1"/>
    <col min="5898" max="5899" width="15.6640625" style="7" bestFit="1" customWidth="1"/>
    <col min="5900" max="5900" width="39.109375" style="7" customWidth="1"/>
    <col min="5901" max="5901" width="12.6640625" style="7" customWidth="1"/>
    <col min="5902" max="5902" width="11" style="7" customWidth="1"/>
    <col min="5903" max="6147" width="11.33203125" style="7"/>
    <col min="6148" max="6148" width="49.109375" style="7" customWidth="1"/>
    <col min="6149" max="6149" width="11.33203125" style="7" customWidth="1"/>
    <col min="6150" max="6151" width="11.6640625" style="7" customWidth="1"/>
    <col min="6152" max="6152" width="12.5546875" style="7" customWidth="1"/>
    <col min="6153" max="6153" width="11.6640625" style="7" bestFit="1" customWidth="1"/>
    <col min="6154" max="6155" width="15.6640625" style="7" bestFit="1" customWidth="1"/>
    <col min="6156" max="6156" width="39.109375" style="7" customWidth="1"/>
    <col min="6157" max="6157" width="12.6640625" style="7" customWidth="1"/>
    <col min="6158" max="6158" width="11" style="7" customWidth="1"/>
    <col min="6159" max="6403" width="11.33203125" style="7"/>
    <col min="6404" max="6404" width="49.109375" style="7" customWidth="1"/>
    <col min="6405" max="6405" width="11.33203125" style="7" customWidth="1"/>
    <col min="6406" max="6407" width="11.6640625" style="7" customWidth="1"/>
    <col min="6408" max="6408" width="12.5546875" style="7" customWidth="1"/>
    <col min="6409" max="6409" width="11.6640625" style="7" bestFit="1" customWidth="1"/>
    <col min="6410" max="6411" width="15.6640625" style="7" bestFit="1" customWidth="1"/>
    <col min="6412" max="6412" width="39.109375" style="7" customWidth="1"/>
    <col min="6413" max="6413" width="12.6640625" style="7" customWidth="1"/>
    <col min="6414" max="6414" width="11" style="7" customWidth="1"/>
    <col min="6415" max="6659" width="11.33203125" style="7"/>
    <col min="6660" max="6660" width="49.109375" style="7" customWidth="1"/>
    <col min="6661" max="6661" width="11.33203125" style="7" customWidth="1"/>
    <col min="6662" max="6663" width="11.6640625" style="7" customWidth="1"/>
    <col min="6664" max="6664" width="12.5546875" style="7" customWidth="1"/>
    <col min="6665" max="6665" width="11.6640625" style="7" bestFit="1" customWidth="1"/>
    <col min="6666" max="6667" width="15.6640625" style="7" bestFit="1" customWidth="1"/>
    <col min="6668" max="6668" width="39.109375" style="7" customWidth="1"/>
    <col min="6669" max="6669" width="12.6640625" style="7" customWidth="1"/>
    <col min="6670" max="6670" width="11" style="7" customWidth="1"/>
    <col min="6671" max="6915" width="11.33203125" style="7"/>
    <col min="6916" max="6916" width="49.109375" style="7" customWidth="1"/>
    <col min="6917" max="6917" width="11.33203125" style="7" customWidth="1"/>
    <col min="6918" max="6919" width="11.6640625" style="7" customWidth="1"/>
    <col min="6920" max="6920" width="12.5546875" style="7" customWidth="1"/>
    <col min="6921" max="6921" width="11.6640625" style="7" bestFit="1" customWidth="1"/>
    <col min="6922" max="6923" width="15.6640625" style="7" bestFit="1" customWidth="1"/>
    <col min="6924" max="6924" width="39.109375" style="7" customWidth="1"/>
    <col min="6925" max="6925" width="12.6640625" style="7" customWidth="1"/>
    <col min="6926" max="6926" width="11" style="7" customWidth="1"/>
    <col min="6927" max="7171" width="11.33203125" style="7"/>
    <col min="7172" max="7172" width="49.109375" style="7" customWidth="1"/>
    <col min="7173" max="7173" width="11.33203125" style="7" customWidth="1"/>
    <col min="7174" max="7175" width="11.6640625" style="7" customWidth="1"/>
    <col min="7176" max="7176" width="12.5546875" style="7" customWidth="1"/>
    <col min="7177" max="7177" width="11.6640625" style="7" bestFit="1" customWidth="1"/>
    <col min="7178" max="7179" width="15.6640625" style="7" bestFit="1" customWidth="1"/>
    <col min="7180" max="7180" width="39.109375" style="7" customWidth="1"/>
    <col min="7181" max="7181" width="12.6640625" style="7" customWidth="1"/>
    <col min="7182" max="7182" width="11" style="7" customWidth="1"/>
    <col min="7183" max="7427" width="11.33203125" style="7"/>
    <col min="7428" max="7428" width="49.109375" style="7" customWidth="1"/>
    <col min="7429" max="7429" width="11.33203125" style="7" customWidth="1"/>
    <col min="7430" max="7431" width="11.6640625" style="7" customWidth="1"/>
    <col min="7432" max="7432" width="12.5546875" style="7" customWidth="1"/>
    <col min="7433" max="7433" width="11.6640625" style="7" bestFit="1" customWidth="1"/>
    <col min="7434" max="7435" width="15.6640625" style="7" bestFit="1" customWidth="1"/>
    <col min="7436" max="7436" width="39.109375" style="7" customWidth="1"/>
    <col min="7437" max="7437" width="12.6640625" style="7" customWidth="1"/>
    <col min="7438" max="7438" width="11" style="7" customWidth="1"/>
    <col min="7439" max="7683" width="11.33203125" style="7"/>
    <col min="7684" max="7684" width="49.109375" style="7" customWidth="1"/>
    <col min="7685" max="7685" width="11.33203125" style="7" customWidth="1"/>
    <col min="7686" max="7687" width="11.6640625" style="7" customWidth="1"/>
    <col min="7688" max="7688" width="12.5546875" style="7" customWidth="1"/>
    <col min="7689" max="7689" width="11.6640625" style="7" bestFit="1" customWidth="1"/>
    <col min="7690" max="7691" width="15.6640625" style="7" bestFit="1" customWidth="1"/>
    <col min="7692" max="7692" width="39.109375" style="7" customWidth="1"/>
    <col min="7693" max="7693" width="12.6640625" style="7" customWidth="1"/>
    <col min="7694" max="7694" width="11" style="7" customWidth="1"/>
    <col min="7695" max="7939" width="11.33203125" style="7"/>
    <col min="7940" max="7940" width="49.109375" style="7" customWidth="1"/>
    <col min="7941" max="7941" width="11.33203125" style="7" customWidth="1"/>
    <col min="7942" max="7943" width="11.6640625" style="7" customWidth="1"/>
    <col min="7944" max="7944" width="12.5546875" style="7" customWidth="1"/>
    <col min="7945" max="7945" width="11.6640625" style="7" bestFit="1" customWidth="1"/>
    <col min="7946" max="7947" width="15.6640625" style="7" bestFit="1" customWidth="1"/>
    <col min="7948" max="7948" width="39.109375" style="7" customWidth="1"/>
    <col min="7949" max="7949" width="12.6640625" style="7" customWidth="1"/>
    <col min="7950" max="7950" width="11" style="7" customWidth="1"/>
    <col min="7951" max="8195" width="11.33203125" style="7"/>
    <col min="8196" max="8196" width="49.109375" style="7" customWidth="1"/>
    <col min="8197" max="8197" width="11.33203125" style="7" customWidth="1"/>
    <col min="8198" max="8199" width="11.6640625" style="7" customWidth="1"/>
    <col min="8200" max="8200" width="12.5546875" style="7" customWidth="1"/>
    <col min="8201" max="8201" width="11.6640625" style="7" bestFit="1" customWidth="1"/>
    <col min="8202" max="8203" width="15.6640625" style="7" bestFit="1" customWidth="1"/>
    <col min="8204" max="8204" width="39.109375" style="7" customWidth="1"/>
    <col min="8205" max="8205" width="12.6640625" style="7" customWidth="1"/>
    <col min="8206" max="8206" width="11" style="7" customWidth="1"/>
    <col min="8207" max="8451" width="11.33203125" style="7"/>
    <col min="8452" max="8452" width="49.109375" style="7" customWidth="1"/>
    <col min="8453" max="8453" width="11.33203125" style="7" customWidth="1"/>
    <col min="8454" max="8455" width="11.6640625" style="7" customWidth="1"/>
    <col min="8456" max="8456" width="12.5546875" style="7" customWidth="1"/>
    <col min="8457" max="8457" width="11.6640625" style="7" bestFit="1" customWidth="1"/>
    <col min="8458" max="8459" width="15.6640625" style="7" bestFit="1" customWidth="1"/>
    <col min="8460" max="8460" width="39.109375" style="7" customWidth="1"/>
    <col min="8461" max="8461" width="12.6640625" style="7" customWidth="1"/>
    <col min="8462" max="8462" width="11" style="7" customWidth="1"/>
    <col min="8463" max="8707" width="11.33203125" style="7"/>
    <col min="8708" max="8708" width="49.109375" style="7" customWidth="1"/>
    <col min="8709" max="8709" width="11.33203125" style="7" customWidth="1"/>
    <col min="8710" max="8711" width="11.6640625" style="7" customWidth="1"/>
    <col min="8712" max="8712" width="12.5546875" style="7" customWidth="1"/>
    <col min="8713" max="8713" width="11.6640625" style="7" bestFit="1" customWidth="1"/>
    <col min="8714" max="8715" width="15.6640625" style="7" bestFit="1" customWidth="1"/>
    <col min="8716" max="8716" width="39.109375" style="7" customWidth="1"/>
    <col min="8717" max="8717" width="12.6640625" style="7" customWidth="1"/>
    <col min="8718" max="8718" width="11" style="7" customWidth="1"/>
    <col min="8719" max="8963" width="11.33203125" style="7"/>
    <col min="8964" max="8964" width="49.109375" style="7" customWidth="1"/>
    <col min="8965" max="8965" width="11.33203125" style="7" customWidth="1"/>
    <col min="8966" max="8967" width="11.6640625" style="7" customWidth="1"/>
    <col min="8968" max="8968" width="12.5546875" style="7" customWidth="1"/>
    <col min="8969" max="8969" width="11.6640625" style="7" bestFit="1" customWidth="1"/>
    <col min="8970" max="8971" width="15.6640625" style="7" bestFit="1" customWidth="1"/>
    <col min="8972" max="8972" width="39.109375" style="7" customWidth="1"/>
    <col min="8973" max="8973" width="12.6640625" style="7" customWidth="1"/>
    <col min="8974" max="8974" width="11" style="7" customWidth="1"/>
    <col min="8975" max="9219" width="11.33203125" style="7"/>
    <col min="9220" max="9220" width="49.109375" style="7" customWidth="1"/>
    <col min="9221" max="9221" width="11.33203125" style="7" customWidth="1"/>
    <col min="9222" max="9223" width="11.6640625" style="7" customWidth="1"/>
    <col min="9224" max="9224" width="12.5546875" style="7" customWidth="1"/>
    <col min="9225" max="9225" width="11.6640625" style="7" bestFit="1" customWidth="1"/>
    <col min="9226" max="9227" width="15.6640625" style="7" bestFit="1" customWidth="1"/>
    <col min="9228" max="9228" width="39.109375" style="7" customWidth="1"/>
    <col min="9229" max="9229" width="12.6640625" style="7" customWidth="1"/>
    <col min="9230" max="9230" width="11" style="7" customWidth="1"/>
    <col min="9231" max="9475" width="11.33203125" style="7"/>
    <col min="9476" max="9476" width="49.109375" style="7" customWidth="1"/>
    <col min="9477" max="9477" width="11.33203125" style="7" customWidth="1"/>
    <col min="9478" max="9479" width="11.6640625" style="7" customWidth="1"/>
    <col min="9480" max="9480" width="12.5546875" style="7" customWidth="1"/>
    <col min="9481" max="9481" width="11.6640625" style="7" bestFit="1" customWidth="1"/>
    <col min="9482" max="9483" width="15.6640625" style="7" bestFit="1" customWidth="1"/>
    <col min="9484" max="9484" width="39.109375" style="7" customWidth="1"/>
    <col min="9485" max="9485" width="12.6640625" style="7" customWidth="1"/>
    <col min="9486" max="9486" width="11" style="7" customWidth="1"/>
    <col min="9487" max="9731" width="11.33203125" style="7"/>
    <col min="9732" max="9732" width="49.109375" style="7" customWidth="1"/>
    <col min="9733" max="9733" width="11.33203125" style="7" customWidth="1"/>
    <col min="9734" max="9735" width="11.6640625" style="7" customWidth="1"/>
    <col min="9736" max="9736" width="12.5546875" style="7" customWidth="1"/>
    <col min="9737" max="9737" width="11.6640625" style="7" bestFit="1" customWidth="1"/>
    <col min="9738" max="9739" width="15.6640625" style="7" bestFit="1" customWidth="1"/>
    <col min="9740" max="9740" width="39.109375" style="7" customWidth="1"/>
    <col min="9741" max="9741" width="12.6640625" style="7" customWidth="1"/>
    <col min="9742" max="9742" width="11" style="7" customWidth="1"/>
    <col min="9743" max="9987" width="11.33203125" style="7"/>
    <col min="9988" max="9988" width="49.109375" style="7" customWidth="1"/>
    <col min="9989" max="9989" width="11.33203125" style="7" customWidth="1"/>
    <col min="9990" max="9991" width="11.6640625" style="7" customWidth="1"/>
    <col min="9992" max="9992" width="12.5546875" style="7" customWidth="1"/>
    <col min="9993" max="9993" width="11.6640625" style="7" bestFit="1" customWidth="1"/>
    <col min="9994" max="9995" width="15.6640625" style="7" bestFit="1" customWidth="1"/>
    <col min="9996" max="9996" width="39.109375" style="7" customWidth="1"/>
    <col min="9997" max="9997" width="12.6640625" style="7" customWidth="1"/>
    <col min="9998" max="9998" width="11" style="7" customWidth="1"/>
    <col min="9999" max="10243" width="11.33203125" style="7"/>
    <col min="10244" max="10244" width="49.109375" style="7" customWidth="1"/>
    <col min="10245" max="10245" width="11.33203125" style="7" customWidth="1"/>
    <col min="10246" max="10247" width="11.6640625" style="7" customWidth="1"/>
    <col min="10248" max="10248" width="12.5546875" style="7" customWidth="1"/>
    <col min="10249" max="10249" width="11.6640625" style="7" bestFit="1" customWidth="1"/>
    <col min="10250" max="10251" width="15.6640625" style="7" bestFit="1" customWidth="1"/>
    <col min="10252" max="10252" width="39.109375" style="7" customWidth="1"/>
    <col min="10253" max="10253" width="12.6640625" style="7" customWidth="1"/>
    <col min="10254" max="10254" width="11" style="7" customWidth="1"/>
    <col min="10255" max="10499" width="11.33203125" style="7"/>
    <col min="10500" max="10500" width="49.109375" style="7" customWidth="1"/>
    <col min="10501" max="10501" width="11.33203125" style="7" customWidth="1"/>
    <col min="10502" max="10503" width="11.6640625" style="7" customWidth="1"/>
    <col min="10504" max="10504" width="12.5546875" style="7" customWidth="1"/>
    <col min="10505" max="10505" width="11.6640625" style="7" bestFit="1" customWidth="1"/>
    <col min="10506" max="10507" width="15.6640625" style="7" bestFit="1" customWidth="1"/>
    <col min="10508" max="10508" width="39.109375" style="7" customWidth="1"/>
    <col min="10509" max="10509" width="12.6640625" style="7" customWidth="1"/>
    <col min="10510" max="10510" width="11" style="7" customWidth="1"/>
    <col min="10511" max="10755" width="11.33203125" style="7"/>
    <col min="10756" max="10756" width="49.109375" style="7" customWidth="1"/>
    <col min="10757" max="10757" width="11.33203125" style="7" customWidth="1"/>
    <col min="10758" max="10759" width="11.6640625" style="7" customWidth="1"/>
    <col min="10760" max="10760" width="12.5546875" style="7" customWidth="1"/>
    <col min="10761" max="10761" width="11.6640625" style="7" bestFit="1" customWidth="1"/>
    <col min="10762" max="10763" width="15.6640625" style="7" bestFit="1" customWidth="1"/>
    <col min="10764" max="10764" width="39.109375" style="7" customWidth="1"/>
    <col min="10765" max="10765" width="12.6640625" style="7" customWidth="1"/>
    <col min="10766" max="10766" width="11" style="7" customWidth="1"/>
    <col min="10767" max="11011" width="11.33203125" style="7"/>
    <col min="11012" max="11012" width="49.109375" style="7" customWidth="1"/>
    <col min="11013" max="11013" width="11.33203125" style="7" customWidth="1"/>
    <col min="11014" max="11015" width="11.6640625" style="7" customWidth="1"/>
    <col min="11016" max="11016" width="12.5546875" style="7" customWidth="1"/>
    <col min="11017" max="11017" width="11.6640625" style="7" bestFit="1" customWidth="1"/>
    <col min="11018" max="11019" width="15.6640625" style="7" bestFit="1" customWidth="1"/>
    <col min="11020" max="11020" width="39.109375" style="7" customWidth="1"/>
    <col min="11021" max="11021" width="12.6640625" style="7" customWidth="1"/>
    <col min="11022" max="11022" width="11" style="7" customWidth="1"/>
    <col min="11023" max="11267" width="11.33203125" style="7"/>
    <col min="11268" max="11268" width="49.109375" style="7" customWidth="1"/>
    <col min="11269" max="11269" width="11.33203125" style="7" customWidth="1"/>
    <col min="11270" max="11271" width="11.6640625" style="7" customWidth="1"/>
    <col min="11272" max="11272" width="12.5546875" style="7" customWidth="1"/>
    <col min="11273" max="11273" width="11.6640625" style="7" bestFit="1" customWidth="1"/>
    <col min="11274" max="11275" width="15.6640625" style="7" bestFit="1" customWidth="1"/>
    <col min="11276" max="11276" width="39.109375" style="7" customWidth="1"/>
    <col min="11277" max="11277" width="12.6640625" style="7" customWidth="1"/>
    <col min="11278" max="11278" width="11" style="7" customWidth="1"/>
    <col min="11279" max="11523" width="11.33203125" style="7"/>
    <col min="11524" max="11524" width="49.109375" style="7" customWidth="1"/>
    <col min="11525" max="11525" width="11.33203125" style="7" customWidth="1"/>
    <col min="11526" max="11527" width="11.6640625" style="7" customWidth="1"/>
    <col min="11528" max="11528" width="12.5546875" style="7" customWidth="1"/>
    <col min="11529" max="11529" width="11.6640625" style="7" bestFit="1" customWidth="1"/>
    <col min="11530" max="11531" width="15.6640625" style="7" bestFit="1" customWidth="1"/>
    <col min="11532" max="11532" width="39.109375" style="7" customWidth="1"/>
    <col min="11533" max="11533" width="12.6640625" style="7" customWidth="1"/>
    <col min="11534" max="11534" width="11" style="7" customWidth="1"/>
    <col min="11535" max="11779" width="11.33203125" style="7"/>
    <col min="11780" max="11780" width="49.109375" style="7" customWidth="1"/>
    <col min="11781" max="11781" width="11.33203125" style="7" customWidth="1"/>
    <col min="11782" max="11783" width="11.6640625" style="7" customWidth="1"/>
    <col min="11784" max="11784" width="12.5546875" style="7" customWidth="1"/>
    <col min="11785" max="11785" width="11.6640625" style="7" bestFit="1" customWidth="1"/>
    <col min="11786" max="11787" width="15.6640625" style="7" bestFit="1" customWidth="1"/>
    <col min="11788" max="11788" width="39.109375" style="7" customWidth="1"/>
    <col min="11789" max="11789" width="12.6640625" style="7" customWidth="1"/>
    <col min="11790" max="11790" width="11" style="7" customWidth="1"/>
    <col min="11791" max="12035" width="11.33203125" style="7"/>
    <col min="12036" max="12036" width="49.109375" style="7" customWidth="1"/>
    <col min="12037" max="12037" width="11.33203125" style="7" customWidth="1"/>
    <col min="12038" max="12039" width="11.6640625" style="7" customWidth="1"/>
    <col min="12040" max="12040" width="12.5546875" style="7" customWidth="1"/>
    <col min="12041" max="12041" width="11.6640625" style="7" bestFit="1" customWidth="1"/>
    <col min="12042" max="12043" width="15.6640625" style="7" bestFit="1" customWidth="1"/>
    <col min="12044" max="12044" width="39.109375" style="7" customWidth="1"/>
    <col min="12045" max="12045" width="12.6640625" style="7" customWidth="1"/>
    <col min="12046" max="12046" width="11" style="7" customWidth="1"/>
    <col min="12047" max="12291" width="11.33203125" style="7"/>
    <col min="12292" max="12292" width="49.109375" style="7" customWidth="1"/>
    <col min="12293" max="12293" width="11.33203125" style="7" customWidth="1"/>
    <col min="12294" max="12295" width="11.6640625" style="7" customWidth="1"/>
    <col min="12296" max="12296" width="12.5546875" style="7" customWidth="1"/>
    <col min="12297" max="12297" width="11.6640625" style="7" bestFit="1" customWidth="1"/>
    <col min="12298" max="12299" width="15.6640625" style="7" bestFit="1" customWidth="1"/>
    <col min="12300" max="12300" width="39.109375" style="7" customWidth="1"/>
    <col min="12301" max="12301" width="12.6640625" style="7" customWidth="1"/>
    <col min="12302" max="12302" width="11" style="7" customWidth="1"/>
    <col min="12303" max="12547" width="11.33203125" style="7"/>
    <col min="12548" max="12548" width="49.109375" style="7" customWidth="1"/>
    <col min="12549" max="12549" width="11.33203125" style="7" customWidth="1"/>
    <col min="12550" max="12551" width="11.6640625" style="7" customWidth="1"/>
    <col min="12552" max="12552" width="12.5546875" style="7" customWidth="1"/>
    <col min="12553" max="12553" width="11.6640625" style="7" bestFit="1" customWidth="1"/>
    <col min="12554" max="12555" width="15.6640625" style="7" bestFit="1" customWidth="1"/>
    <col min="12556" max="12556" width="39.109375" style="7" customWidth="1"/>
    <col min="12557" max="12557" width="12.6640625" style="7" customWidth="1"/>
    <col min="12558" max="12558" width="11" style="7" customWidth="1"/>
    <col min="12559" max="12803" width="11.33203125" style="7"/>
    <col min="12804" max="12804" width="49.109375" style="7" customWidth="1"/>
    <col min="12805" max="12805" width="11.33203125" style="7" customWidth="1"/>
    <col min="12806" max="12807" width="11.6640625" style="7" customWidth="1"/>
    <col min="12808" max="12808" width="12.5546875" style="7" customWidth="1"/>
    <col min="12809" max="12809" width="11.6640625" style="7" bestFit="1" customWidth="1"/>
    <col min="12810" max="12811" width="15.6640625" style="7" bestFit="1" customWidth="1"/>
    <col min="12812" max="12812" width="39.109375" style="7" customWidth="1"/>
    <col min="12813" max="12813" width="12.6640625" style="7" customWidth="1"/>
    <col min="12814" max="12814" width="11" style="7" customWidth="1"/>
    <col min="12815" max="13059" width="11.33203125" style="7"/>
    <col min="13060" max="13060" width="49.109375" style="7" customWidth="1"/>
    <col min="13061" max="13061" width="11.33203125" style="7" customWidth="1"/>
    <col min="13062" max="13063" width="11.6640625" style="7" customWidth="1"/>
    <col min="13064" max="13064" width="12.5546875" style="7" customWidth="1"/>
    <col min="13065" max="13065" width="11.6640625" style="7" bestFit="1" customWidth="1"/>
    <col min="13066" max="13067" width="15.6640625" style="7" bestFit="1" customWidth="1"/>
    <col min="13068" max="13068" width="39.109375" style="7" customWidth="1"/>
    <col min="13069" max="13069" width="12.6640625" style="7" customWidth="1"/>
    <col min="13070" max="13070" width="11" style="7" customWidth="1"/>
    <col min="13071" max="13315" width="11.33203125" style="7"/>
    <col min="13316" max="13316" width="49.109375" style="7" customWidth="1"/>
    <col min="13317" max="13317" width="11.33203125" style="7" customWidth="1"/>
    <col min="13318" max="13319" width="11.6640625" style="7" customWidth="1"/>
    <col min="13320" max="13320" width="12.5546875" style="7" customWidth="1"/>
    <col min="13321" max="13321" width="11.6640625" style="7" bestFit="1" customWidth="1"/>
    <col min="13322" max="13323" width="15.6640625" style="7" bestFit="1" customWidth="1"/>
    <col min="13324" max="13324" width="39.109375" style="7" customWidth="1"/>
    <col min="13325" max="13325" width="12.6640625" style="7" customWidth="1"/>
    <col min="13326" max="13326" width="11" style="7" customWidth="1"/>
    <col min="13327" max="13571" width="11.33203125" style="7"/>
    <col min="13572" max="13572" width="49.109375" style="7" customWidth="1"/>
    <col min="13573" max="13573" width="11.33203125" style="7" customWidth="1"/>
    <col min="13574" max="13575" width="11.6640625" style="7" customWidth="1"/>
    <col min="13576" max="13576" width="12.5546875" style="7" customWidth="1"/>
    <col min="13577" max="13577" width="11.6640625" style="7" bestFit="1" customWidth="1"/>
    <col min="13578" max="13579" width="15.6640625" style="7" bestFit="1" customWidth="1"/>
    <col min="13580" max="13580" width="39.109375" style="7" customWidth="1"/>
    <col min="13581" max="13581" width="12.6640625" style="7" customWidth="1"/>
    <col min="13582" max="13582" width="11" style="7" customWidth="1"/>
    <col min="13583" max="13827" width="11.33203125" style="7"/>
    <col min="13828" max="13828" width="49.109375" style="7" customWidth="1"/>
    <col min="13829" max="13829" width="11.33203125" style="7" customWidth="1"/>
    <col min="13830" max="13831" width="11.6640625" style="7" customWidth="1"/>
    <col min="13832" max="13832" width="12.5546875" style="7" customWidth="1"/>
    <col min="13833" max="13833" width="11.6640625" style="7" bestFit="1" customWidth="1"/>
    <col min="13834" max="13835" width="15.6640625" style="7" bestFit="1" customWidth="1"/>
    <col min="13836" max="13836" width="39.109375" style="7" customWidth="1"/>
    <col min="13837" max="13837" width="12.6640625" style="7" customWidth="1"/>
    <col min="13838" max="13838" width="11" style="7" customWidth="1"/>
    <col min="13839" max="14083" width="11.33203125" style="7"/>
    <col min="14084" max="14084" width="49.109375" style="7" customWidth="1"/>
    <col min="14085" max="14085" width="11.33203125" style="7" customWidth="1"/>
    <col min="14086" max="14087" width="11.6640625" style="7" customWidth="1"/>
    <col min="14088" max="14088" width="12.5546875" style="7" customWidth="1"/>
    <col min="14089" max="14089" width="11.6640625" style="7" bestFit="1" customWidth="1"/>
    <col min="14090" max="14091" width="15.6640625" style="7" bestFit="1" customWidth="1"/>
    <col min="14092" max="14092" width="39.109375" style="7" customWidth="1"/>
    <col min="14093" max="14093" width="12.6640625" style="7" customWidth="1"/>
    <col min="14094" max="14094" width="11" style="7" customWidth="1"/>
    <col min="14095" max="14339" width="11.33203125" style="7"/>
    <col min="14340" max="14340" width="49.109375" style="7" customWidth="1"/>
    <col min="14341" max="14341" width="11.33203125" style="7" customWidth="1"/>
    <col min="14342" max="14343" width="11.6640625" style="7" customWidth="1"/>
    <col min="14344" max="14344" width="12.5546875" style="7" customWidth="1"/>
    <col min="14345" max="14345" width="11.6640625" style="7" bestFit="1" customWidth="1"/>
    <col min="14346" max="14347" width="15.6640625" style="7" bestFit="1" customWidth="1"/>
    <col min="14348" max="14348" width="39.109375" style="7" customWidth="1"/>
    <col min="14349" max="14349" width="12.6640625" style="7" customWidth="1"/>
    <col min="14350" max="14350" width="11" style="7" customWidth="1"/>
    <col min="14351" max="14595" width="11.33203125" style="7"/>
    <col min="14596" max="14596" width="49.109375" style="7" customWidth="1"/>
    <col min="14597" max="14597" width="11.33203125" style="7" customWidth="1"/>
    <col min="14598" max="14599" width="11.6640625" style="7" customWidth="1"/>
    <col min="14600" max="14600" width="12.5546875" style="7" customWidth="1"/>
    <col min="14601" max="14601" width="11.6640625" style="7" bestFit="1" customWidth="1"/>
    <col min="14602" max="14603" width="15.6640625" style="7" bestFit="1" customWidth="1"/>
    <col min="14604" max="14604" width="39.109375" style="7" customWidth="1"/>
    <col min="14605" max="14605" width="12.6640625" style="7" customWidth="1"/>
    <col min="14606" max="14606" width="11" style="7" customWidth="1"/>
    <col min="14607" max="14851" width="11.33203125" style="7"/>
    <col min="14852" max="14852" width="49.109375" style="7" customWidth="1"/>
    <col min="14853" max="14853" width="11.33203125" style="7" customWidth="1"/>
    <col min="14854" max="14855" width="11.6640625" style="7" customWidth="1"/>
    <col min="14856" max="14856" width="12.5546875" style="7" customWidth="1"/>
    <col min="14857" max="14857" width="11.6640625" style="7" bestFit="1" customWidth="1"/>
    <col min="14858" max="14859" width="15.6640625" style="7" bestFit="1" customWidth="1"/>
    <col min="14860" max="14860" width="39.109375" style="7" customWidth="1"/>
    <col min="14861" max="14861" width="12.6640625" style="7" customWidth="1"/>
    <col min="14862" max="14862" width="11" style="7" customWidth="1"/>
    <col min="14863" max="15107" width="11.33203125" style="7"/>
    <col min="15108" max="15108" width="49.109375" style="7" customWidth="1"/>
    <col min="15109" max="15109" width="11.33203125" style="7" customWidth="1"/>
    <col min="15110" max="15111" width="11.6640625" style="7" customWidth="1"/>
    <col min="15112" max="15112" width="12.5546875" style="7" customWidth="1"/>
    <col min="15113" max="15113" width="11.6640625" style="7" bestFit="1" customWidth="1"/>
    <col min="15114" max="15115" width="15.6640625" style="7" bestFit="1" customWidth="1"/>
    <col min="15116" max="15116" width="39.109375" style="7" customWidth="1"/>
    <col min="15117" max="15117" width="12.6640625" style="7" customWidth="1"/>
    <col min="15118" max="15118" width="11" style="7" customWidth="1"/>
    <col min="15119" max="15363" width="11.33203125" style="7"/>
    <col min="15364" max="15364" width="49.109375" style="7" customWidth="1"/>
    <col min="15365" max="15365" width="11.33203125" style="7" customWidth="1"/>
    <col min="15366" max="15367" width="11.6640625" style="7" customWidth="1"/>
    <col min="15368" max="15368" width="12.5546875" style="7" customWidth="1"/>
    <col min="15369" max="15369" width="11.6640625" style="7" bestFit="1" customWidth="1"/>
    <col min="15370" max="15371" width="15.6640625" style="7" bestFit="1" customWidth="1"/>
    <col min="15372" max="15372" width="39.109375" style="7" customWidth="1"/>
    <col min="15373" max="15373" width="12.6640625" style="7" customWidth="1"/>
    <col min="15374" max="15374" width="11" style="7" customWidth="1"/>
    <col min="15375" max="15619" width="11.33203125" style="7"/>
    <col min="15620" max="15620" width="49.109375" style="7" customWidth="1"/>
    <col min="15621" max="15621" width="11.33203125" style="7" customWidth="1"/>
    <col min="15622" max="15623" width="11.6640625" style="7" customWidth="1"/>
    <col min="15624" max="15624" width="12.5546875" style="7" customWidth="1"/>
    <col min="15625" max="15625" width="11.6640625" style="7" bestFit="1" customWidth="1"/>
    <col min="15626" max="15627" width="15.6640625" style="7" bestFit="1" customWidth="1"/>
    <col min="15628" max="15628" width="39.109375" style="7" customWidth="1"/>
    <col min="15629" max="15629" width="12.6640625" style="7" customWidth="1"/>
    <col min="15630" max="15630" width="11" style="7" customWidth="1"/>
    <col min="15631" max="15875" width="11.33203125" style="7"/>
    <col min="15876" max="15876" width="49.109375" style="7" customWidth="1"/>
    <col min="15877" max="15877" width="11.33203125" style="7" customWidth="1"/>
    <col min="15878" max="15879" width="11.6640625" style="7" customWidth="1"/>
    <col min="15880" max="15880" width="12.5546875" style="7" customWidth="1"/>
    <col min="15881" max="15881" width="11.6640625" style="7" bestFit="1" customWidth="1"/>
    <col min="15882" max="15883" width="15.6640625" style="7" bestFit="1" customWidth="1"/>
    <col min="15884" max="15884" width="39.109375" style="7" customWidth="1"/>
    <col min="15885" max="15885" width="12.6640625" style="7" customWidth="1"/>
    <col min="15886" max="15886" width="11" style="7" customWidth="1"/>
    <col min="15887" max="16131" width="11.33203125" style="7"/>
    <col min="16132" max="16132" width="49.109375" style="7" customWidth="1"/>
    <col min="16133" max="16133" width="11.33203125" style="7" customWidth="1"/>
    <col min="16134" max="16135" width="11.6640625" style="7" customWidth="1"/>
    <col min="16136" max="16136" width="12.5546875" style="7" customWidth="1"/>
    <col min="16137" max="16137" width="11.6640625" style="7" bestFit="1" customWidth="1"/>
    <col min="16138" max="16139" width="15.6640625" style="7" bestFit="1" customWidth="1"/>
    <col min="16140" max="16140" width="39.109375" style="7" customWidth="1"/>
    <col min="16141" max="16141" width="12.6640625" style="7" customWidth="1"/>
    <col min="16142" max="16142" width="11" style="7" customWidth="1"/>
    <col min="16143" max="16384" width="11.33203125" style="7"/>
  </cols>
  <sheetData>
    <row r="1" spans="1:21" ht="26.25" customHeight="1" x14ac:dyDescent="0.4">
      <c r="A1" s="1" t="str">
        <f>'2019 Final'!A1</f>
        <v xml:space="preserve">2019 Willamette Spring Chinook Return to Columbia River        </v>
      </c>
      <c r="B1" s="2"/>
      <c r="C1" s="2"/>
      <c r="D1" s="2"/>
      <c r="E1" s="2"/>
      <c r="F1" s="2"/>
      <c r="G1" s="2"/>
      <c r="H1" s="3"/>
    </row>
    <row r="2" spans="1:21" ht="21.75" customHeight="1" x14ac:dyDescent="0.4">
      <c r="A2" s="8"/>
      <c r="B2" s="8"/>
      <c r="C2" s="8"/>
      <c r="D2" s="8"/>
      <c r="E2" s="8"/>
      <c r="F2" s="8"/>
      <c r="G2" s="8"/>
      <c r="H2" s="8"/>
    </row>
    <row r="3" spans="1:21" ht="21.75" customHeight="1" x14ac:dyDescent="0.4">
      <c r="A3" s="9"/>
      <c r="B3" s="8"/>
      <c r="C3" s="8"/>
      <c r="D3" s="8"/>
      <c r="E3" s="8"/>
      <c r="F3" s="8"/>
      <c r="G3" s="8"/>
      <c r="H3" s="8"/>
    </row>
    <row r="4" spans="1:21" ht="21.75" customHeight="1" x14ac:dyDescent="0.4">
      <c r="A4" s="68" t="s">
        <v>0</v>
      </c>
      <c r="D4" s="10">
        <v>2016</v>
      </c>
      <c r="E4" s="10">
        <v>2015</v>
      </c>
      <c r="F4" s="10">
        <v>2014</v>
      </c>
      <c r="G4" s="10">
        <v>2013</v>
      </c>
    </row>
    <row r="5" spans="1:21" ht="21.75" customHeight="1" x14ac:dyDescent="0.4">
      <c r="A5" s="13" t="s">
        <v>1</v>
      </c>
      <c r="B5" s="13"/>
      <c r="C5" s="13"/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69" t="s">
        <v>53</v>
      </c>
      <c r="J5" s="69" t="s">
        <v>54</v>
      </c>
      <c r="K5" s="69"/>
      <c r="L5" s="8" t="s">
        <v>52</v>
      </c>
    </row>
    <row r="6" spans="1:21" ht="21.75" customHeight="1" x14ac:dyDescent="0.4">
      <c r="A6" s="8" t="s">
        <v>7</v>
      </c>
      <c r="B6" s="8"/>
      <c r="C6" s="8"/>
      <c r="D6" s="18">
        <f>Worksheet!D6</f>
        <v>4</v>
      </c>
      <c r="E6" s="18">
        <f>Worksheet!E6</f>
        <v>162</v>
      </c>
      <c r="F6" s="18">
        <f>Worksheet!F6</f>
        <v>133</v>
      </c>
      <c r="G6" s="18">
        <f>Worksheet!G6</f>
        <v>30</v>
      </c>
      <c r="H6" s="19">
        <f>Worksheet!H6</f>
        <v>329</v>
      </c>
      <c r="I6" s="62">
        <f>ROUND((H7)/((+H7)+(H8*10))*H6,0)</f>
        <v>206</v>
      </c>
      <c r="J6" s="62">
        <f>H6-I6</f>
        <v>123</v>
      </c>
      <c r="K6" s="62"/>
      <c r="L6" s="18">
        <f>ROUND((H6-D6)*(J6/H6),0)</f>
        <v>122</v>
      </c>
      <c r="N6" s="70"/>
      <c r="P6" s="51"/>
    </row>
    <row r="7" spans="1:21" ht="21.75" customHeight="1" x14ac:dyDescent="0.4">
      <c r="A7" s="8" t="s">
        <v>8</v>
      </c>
      <c r="B7" s="8"/>
      <c r="C7" s="8"/>
      <c r="D7" s="18">
        <f>Worksheet!D7</f>
        <v>5</v>
      </c>
      <c r="E7" s="18">
        <f>Worksheet!E7</f>
        <v>121</v>
      </c>
      <c r="F7" s="18">
        <f>Worksheet!F7</f>
        <v>75</v>
      </c>
      <c r="G7" s="18">
        <f>Worksheet!G7</f>
        <v>0</v>
      </c>
      <c r="H7" s="19">
        <f>Worksheet!H7</f>
        <v>201</v>
      </c>
      <c r="I7" s="28">
        <f>H7</f>
        <v>201</v>
      </c>
      <c r="N7" s="51"/>
      <c r="O7" s="51">
        <f>H7/((H7+(H8/0.1)))</f>
        <v>0.62616822429906538</v>
      </c>
      <c r="P7" s="4"/>
    </row>
    <row r="8" spans="1:21" ht="21.75" customHeight="1" x14ac:dyDescent="0.4">
      <c r="A8" s="8" t="s">
        <v>9</v>
      </c>
      <c r="B8" s="8"/>
      <c r="C8" s="8"/>
      <c r="D8" s="18">
        <f>Worksheet!D8</f>
        <v>0</v>
      </c>
      <c r="E8" s="18">
        <f>Worksheet!E8</f>
        <v>7</v>
      </c>
      <c r="F8" s="18">
        <f>Worksheet!F8</f>
        <v>5</v>
      </c>
      <c r="G8" s="18">
        <f>Worksheet!G8</f>
        <v>0</v>
      </c>
      <c r="H8" s="19">
        <f>Worksheet!H8</f>
        <v>12</v>
      </c>
      <c r="J8" s="28">
        <f>H8</f>
        <v>12</v>
      </c>
      <c r="K8" s="28"/>
      <c r="L8" s="18">
        <f>J8-D8</f>
        <v>12</v>
      </c>
      <c r="M8" s="18"/>
      <c r="N8" s="6"/>
      <c r="O8" s="6"/>
      <c r="P8" s="6"/>
    </row>
    <row r="9" spans="1:21" ht="21.75" customHeight="1" x14ac:dyDescent="0.4">
      <c r="A9" s="8" t="s">
        <v>10</v>
      </c>
      <c r="B9" s="8"/>
      <c r="C9" s="8"/>
      <c r="D9" s="18">
        <f>Worksheet!D9</f>
        <v>62</v>
      </c>
      <c r="E9" s="18">
        <f>Worksheet!E9</f>
        <v>2682</v>
      </c>
      <c r="F9" s="18">
        <f>Worksheet!F9</f>
        <v>1676</v>
      </c>
      <c r="G9" s="18">
        <f>Worksheet!G9</f>
        <v>39</v>
      </c>
      <c r="H9" s="19">
        <f>Worksheet!H9</f>
        <v>4459</v>
      </c>
      <c r="I9" s="28">
        <f>H9</f>
        <v>4459</v>
      </c>
      <c r="N9" s="6"/>
      <c r="O9" s="51">
        <f>H9/((H9+(H10/0.122)))</f>
        <v>0.71862541248457723</v>
      </c>
      <c r="P9" s="6"/>
    </row>
    <row r="10" spans="1:21" ht="24.75" customHeight="1" x14ac:dyDescent="0.4">
      <c r="A10" s="8" t="s">
        <v>35</v>
      </c>
      <c r="B10" s="8"/>
      <c r="C10" s="8"/>
      <c r="D10" s="18">
        <f>Worksheet!D10</f>
        <v>3</v>
      </c>
      <c r="E10" s="18">
        <f>Worksheet!E10</f>
        <v>128</v>
      </c>
      <c r="F10" s="18">
        <f>Worksheet!F10</f>
        <v>80</v>
      </c>
      <c r="G10" s="18">
        <f>Worksheet!G10</f>
        <v>2</v>
      </c>
      <c r="H10" s="19">
        <f>Worksheet!H10</f>
        <v>213</v>
      </c>
      <c r="J10" s="28">
        <f>H10</f>
        <v>213</v>
      </c>
      <c r="K10" s="28"/>
      <c r="L10" s="18">
        <f>J10-D10</f>
        <v>210</v>
      </c>
      <c r="M10" s="18"/>
      <c r="N10" s="6"/>
      <c r="O10" s="6"/>
      <c r="P10" s="6"/>
    </row>
    <row r="11" spans="1:21" ht="21.75" customHeight="1" x14ac:dyDescent="0.4">
      <c r="A11" s="8" t="s">
        <v>11</v>
      </c>
      <c r="B11" s="8"/>
      <c r="C11" s="8"/>
      <c r="D11" s="18">
        <f>Worksheet!D11</f>
        <v>0</v>
      </c>
      <c r="E11" s="18">
        <f>Worksheet!E11</f>
        <v>0</v>
      </c>
      <c r="F11" s="18">
        <f>Worksheet!F11</f>
        <v>0</v>
      </c>
      <c r="G11" s="18">
        <f>Worksheet!G11</f>
        <v>0</v>
      </c>
      <c r="H11" s="19">
        <f>Worksheet!H11</f>
        <v>0</v>
      </c>
      <c r="I11" s="28">
        <f>H11</f>
        <v>0</v>
      </c>
    </row>
    <row r="12" spans="1:21" ht="24" customHeight="1" x14ac:dyDescent="0.4">
      <c r="A12" s="8" t="s">
        <v>36</v>
      </c>
      <c r="B12" s="8"/>
      <c r="C12" s="8"/>
      <c r="D12" s="18">
        <f>Worksheet!D12</f>
        <v>0</v>
      </c>
      <c r="E12" s="18">
        <f>Worksheet!E12</f>
        <v>1</v>
      </c>
      <c r="F12" s="18">
        <f>Worksheet!F12</f>
        <v>0</v>
      </c>
      <c r="G12" s="18">
        <f>Worksheet!G12</f>
        <v>0</v>
      </c>
      <c r="H12" s="19">
        <f>Worksheet!H12</f>
        <v>1</v>
      </c>
      <c r="J12" s="28">
        <f>H12</f>
        <v>1</v>
      </c>
      <c r="K12" s="28"/>
      <c r="L12" s="18">
        <f>J12-D12</f>
        <v>1</v>
      </c>
      <c r="M12" s="18"/>
    </row>
    <row r="13" spans="1:21" ht="24" customHeight="1" x14ac:dyDescent="0.4">
      <c r="A13" s="8" t="s">
        <v>97</v>
      </c>
      <c r="B13" s="8"/>
      <c r="C13" s="8"/>
      <c r="D13" s="18">
        <f>Worksheet!D13</f>
        <v>0</v>
      </c>
      <c r="E13" s="18">
        <f>Worksheet!E13</f>
        <v>1</v>
      </c>
      <c r="F13" s="18">
        <f>Worksheet!F13</f>
        <v>1</v>
      </c>
      <c r="G13" s="18">
        <f>Worksheet!G13</f>
        <v>0</v>
      </c>
      <c r="H13" s="19">
        <f>Worksheet!H13</f>
        <v>2</v>
      </c>
      <c r="I13" s="7">
        <v>2</v>
      </c>
      <c r="J13" s="28"/>
      <c r="K13" s="28"/>
      <c r="L13" s="18"/>
      <c r="M13" s="18"/>
      <c r="S13" s="28"/>
      <c r="T13" s="28"/>
      <c r="U13" s="40"/>
    </row>
    <row r="14" spans="1:21" ht="21.75" customHeight="1" thickBot="1" x14ac:dyDescent="0.45">
      <c r="A14" s="8"/>
      <c r="B14" s="8"/>
      <c r="C14" s="8"/>
      <c r="D14" s="8"/>
      <c r="E14" s="8"/>
      <c r="F14" s="8"/>
      <c r="G14" s="24"/>
      <c r="H14" s="25"/>
    </row>
    <row r="15" spans="1:21" ht="21.75" customHeight="1" thickTop="1" x14ac:dyDescent="0.4">
      <c r="A15" s="26" t="s">
        <v>12</v>
      </c>
      <c r="B15" s="26"/>
      <c r="C15" s="26"/>
      <c r="D15" s="27">
        <f t="shared" ref="D15:J15" si="0">SUM(D6:D13)</f>
        <v>74</v>
      </c>
      <c r="E15" s="27">
        <f t="shared" si="0"/>
        <v>3102</v>
      </c>
      <c r="F15" s="27">
        <f t="shared" si="0"/>
        <v>1970</v>
      </c>
      <c r="G15" s="27">
        <f t="shared" si="0"/>
        <v>71</v>
      </c>
      <c r="H15" s="19">
        <f t="shared" si="0"/>
        <v>5217</v>
      </c>
      <c r="I15" s="19">
        <f t="shared" si="0"/>
        <v>4868</v>
      </c>
      <c r="J15" s="19">
        <f t="shared" si="0"/>
        <v>349</v>
      </c>
      <c r="K15" s="19"/>
      <c r="L15" s="18"/>
      <c r="M15" s="18"/>
    </row>
    <row r="16" spans="1:21" ht="21.75" customHeight="1" x14ac:dyDescent="0.4">
      <c r="H16" s="71"/>
    </row>
    <row r="17" spans="1:22" ht="21.75" customHeight="1" x14ac:dyDescent="0.4">
      <c r="A17" s="8"/>
      <c r="B17" s="8"/>
      <c r="C17" s="8"/>
      <c r="D17" s="8"/>
      <c r="E17" s="8"/>
      <c r="F17" s="8" t="s">
        <v>13</v>
      </c>
      <c r="G17" s="8"/>
      <c r="H17" s="9"/>
    </row>
    <row r="18" spans="1:22" ht="21.75" customHeight="1" x14ac:dyDescent="0.4">
      <c r="A18" s="13" t="s">
        <v>14</v>
      </c>
      <c r="B18" s="13"/>
      <c r="C18" s="13"/>
      <c r="D18" s="13"/>
      <c r="E18" s="13"/>
      <c r="F18" s="13"/>
      <c r="G18" s="13"/>
      <c r="H18" s="13"/>
      <c r="Q18" s="74"/>
    </row>
    <row r="19" spans="1:22" ht="25.5" customHeight="1" x14ac:dyDescent="0.4">
      <c r="A19" s="8" t="s">
        <v>37</v>
      </c>
      <c r="B19" s="8"/>
      <c r="C19" s="8"/>
      <c r="D19" s="18">
        <f>Worksheet!D19</f>
        <v>1734</v>
      </c>
      <c r="E19" s="18">
        <f>Worksheet!E19</f>
        <v>11748</v>
      </c>
      <c r="F19" s="18">
        <f>Worksheet!F19</f>
        <v>6968</v>
      </c>
      <c r="G19" s="18">
        <f>Worksheet!G19</f>
        <v>167</v>
      </c>
      <c r="H19" s="19">
        <f>Worksheet!H19</f>
        <v>20617</v>
      </c>
      <c r="I19" s="18">
        <v>13598</v>
      </c>
      <c r="J19" s="18">
        <f>H19-I19</f>
        <v>7019</v>
      </c>
      <c r="K19" s="28"/>
      <c r="L19" s="18">
        <f>(H19-D19)*N20</f>
        <v>6428.6645486734242</v>
      </c>
      <c r="M19" s="18"/>
      <c r="N19" s="72">
        <f>I19/H19</f>
        <v>0.65955279623611585</v>
      </c>
      <c r="O19" s="73" t="s">
        <v>59</v>
      </c>
      <c r="P19" s="73"/>
      <c r="R19" s="74"/>
      <c r="S19" s="76" t="s">
        <v>101</v>
      </c>
      <c r="T19" s="76"/>
      <c r="U19" s="76"/>
      <c r="V19" s="76"/>
    </row>
    <row r="20" spans="1:22" ht="21.75" customHeight="1" x14ac:dyDescent="0.4">
      <c r="A20" s="8" t="s">
        <v>15</v>
      </c>
      <c r="B20" s="8"/>
      <c r="C20" s="8"/>
      <c r="D20" s="18">
        <f>Worksheet!D20</f>
        <v>1</v>
      </c>
      <c r="E20" s="18">
        <f>Worksheet!E20</f>
        <v>34</v>
      </c>
      <c r="F20" s="18">
        <f>Worksheet!F20</f>
        <v>22</v>
      </c>
      <c r="G20" s="18">
        <f>Worksheet!G20</f>
        <v>1</v>
      </c>
      <c r="H20" s="19">
        <f>Worksheet!H20</f>
        <v>58</v>
      </c>
      <c r="I20" s="18">
        <f>H20*N19</f>
        <v>38.254062181694721</v>
      </c>
      <c r="J20" s="18">
        <f>H20*N20</f>
        <v>19.745937818305279</v>
      </c>
      <c r="K20" s="28"/>
      <c r="L20" s="18">
        <f>(H20-D20)*N20</f>
        <v>19.405490614541396</v>
      </c>
      <c r="M20" s="18"/>
      <c r="N20" s="75">
        <f>J19/H19</f>
        <v>0.34044720376388415</v>
      </c>
      <c r="O20" s="76" t="s">
        <v>58</v>
      </c>
      <c r="P20" s="76"/>
      <c r="S20" s="94" t="s">
        <v>98</v>
      </c>
      <c r="T20" s="94" t="s">
        <v>99</v>
      </c>
      <c r="U20" s="94" t="s">
        <v>100</v>
      </c>
      <c r="V20" s="76"/>
    </row>
    <row r="21" spans="1:22" ht="24" customHeight="1" x14ac:dyDescent="0.4">
      <c r="A21" s="8" t="s">
        <v>38</v>
      </c>
      <c r="B21" s="8"/>
      <c r="C21" s="8"/>
      <c r="D21" s="18">
        <f>Worksheet!D21</f>
        <v>34</v>
      </c>
      <c r="E21" s="18">
        <f>Worksheet!E21</f>
        <v>88</v>
      </c>
      <c r="F21" s="18">
        <f>Worksheet!F21</f>
        <v>31</v>
      </c>
      <c r="G21" s="18">
        <f>Worksheet!G21</f>
        <v>0</v>
      </c>
      <c r="H21" s="19">
        <f>Worksheet!H21</f>
        <v>153</v>
      </c>
      <c r="I21" s="28">
        <f>H21</f>
        <v>153</v>
      </c>
      <c r="S21" s="93">
        <f>I11+I12+I21+I22+I23+I24+I25</f>
        <v>233</v>
      </c>
      <c r="T21" s="93">
        <f>J11+J12+J21+J22+J23+J24+J25</f>
        <v>2435</v>
      </c>
      <c r="U21" s="80">
        <f>S21/(S21+T21)</f>
        <v>8.7331334332833577E-2</v>
      </c>
      <c r="V21" s="76"/>
    </row>
    <row r="22" spans="1:22" ht="24.75" customHeight="1" x14ac:dyDescent="0.4">
      <c r="A22" s="8" t="s">
        <v>39</v>
      </c>
      <c r="B22" s="8"/>
      <c r="C22" s="8"/>
      <c r="D22" s="18">
        <f>Worksheet!D22</f>
        <v>5</v>
      </c>
      <c r="E22" s="18">
        <f>Worksheet!E22</f>
        <v>37</v>
      </c>
      <c r="F22" s="18">
        <f>Worksheet!F22</f>
        <v>13</v>
      </c>
      <c r="G22" s="18">
        <f>Worksheet!G22</f>
        <v>0</v>
      </c>
      <c r="H22" s="19">
        <f>Worksheet!H22</f>
        <v>55</v>
      </c>
      <c r="I22" s="28">
        <f>H22</f>
        <v>55</v>
      </c>
    </row>
    <row r="23" spans="1:22" ht="24" customHeight="1" x14ac:dyDescent="0.4">
      <c r="A23" s="8" t="s">
        <v>29</v>
      </c>
      <c r="B23" s="8"/>
      <c r="C23" s="8"/>
      <c r="D23" s="18">
        <f>Worksheet!D23</f>
        <v>4</v>
      </c>
      <c r="E23" s="18">
        <f>Worksheet!E23</f>
        <v>14</v>
      </c>
      <c r="F23" s="18">
        <f>Worksheet!F23</f>
        <v>5</v>
      </c>
      <c r="G23" s="18">
        <f>Worksheet!G23</f>
        <v>0</v>
      </c>
      <c r="H23" s="19">
        <f>Worksheet!H23</f>
        <v>23</v>
      </c>
      <c r="I23" s="28">
        <f>H23</f>
        <v>23</v>
      </c>
      <c r="N23" s="77"/>
      <c r="O23" s="8"/>
      <c r="P23" s="8"/>
      <c r="Q23" s="8"/>
      <c r="S23" s="8"/>
      <c r="T23" s="8"/>
      <c r="U23" s="8"/>
      <c r="V23" s="8"/>
    </row>
    <row r="24" spans="1:22" s="8" customFormat="1" ht="24" customHeight="1" x14ac:dyDescent="0.4">
      <c r="A24" s="8" t="s">
        <v>40</v>
      </c>
      <c r="D24" s="18">
        <f>Worksheet!D24</f>
        <v>156</v>
      </c>
      <c r="E24" s="18">
        <f>Worksheet!E24</f>
        <v>1684</v>
      </c>
      <c r="F24" s="18">
        <f>Worksheet!F24</f>
        <v>594</v>
      </c>
      <c r="G24" s="18">
        <f>Worksheet!G24</f>
        <v>0</v>
      </c>
      <c r="H24" s="19">
        <f>Worksheet!H24</f>
        <v>2434</v>
      </c>
      <c r="J24" s="18">
        <f>H24</f>
        <v>2434</v>
      </c>
      <c r="K24" s="18"/>
      <c r="L24" s="18">
        <f>J24-D24</f>
        <v>2278</v>
      </c>
      <c r="M24" s="18"/>
      <c r="N24" s="77"/>
      <c r="O24" s="78"/>
      <c r="P24" s="78"/>
      <c r="Q24" s="78"/>
    </row>
    <row r="25" spans="1:22" s="8" customFormat="1" ht="22.5" customHeight="1" x14ac:dyDescent="0.4">
      <c r="A25" s="8" t="s">
        <v>30</v>
      </c>
      <c r="D25" s="18">
        <f>Worksheet!D25</f>
        <v>0</v>
      </c>
      <c r="E25" s="18">
        <f>Worksheet!E25</f>
        <v>1</v>
      </c>
      <c r="F25" s="18">
        <f>Worksheet!F25</f>
        <v>1</v>
      </c>
      <c r="G25" s="18">
        <f>Worksheet!G25</f>
        <v>0</v>
      </c>
      <c r="H25" s="19">
        <f>Worksheet!H25</f>
        <v>2</v>
      </c>
      <c r="I25" s="28">
        <f>H25</f>
        <v>2</v>
      </c>
    </row>
    <row r="26" spans="1:22" s="8" customFormat="1" ht="21.75" customHeight="1" x14ac:dyDescent="0.4">
      <c r="A26" s="8" t="s">
        <v>16</v>
      </c>
      <c r="D26" s="18">
        <f>Worksheet!D26</f>
        <v>4</v>
      </c>
      <c r="E26" s="18">
        <f>Worksheet!E26</f>
        <v>15</v>
      </c>
      <c r="F26" s="18">
        <f>Worksheet!F26</f>
        <v>5</v>
      </c>
      <c r="G26" s="18">
        <f>Worksheet!G26</f>
        <v>0</v>
      </c>
      <c r="H26" s="19">
        <f>Worksheet!H26</f>
        <v>24</v>
      </c>
      <c r="I26" s="18">
        <f>H26*U21</f>
        <v>2.0959520239880058</v>
      </c>
      <c r="J26" s="28">
        <f>H26-I26</f>
        <v>21.904047976011995</v>
      </c>
      <c r="K26" s="18"/>
      <c r="L26" s="18">
        <f>ROUND((H26-D26)*(1-U21),0)</f>
        <v>18</v>
      </c>
      <c r="M26" s="18"/>
      <c r="S26" s="28"/>
      <c r="T26" s="7"/>
      <c r="U26" s="7"/>
      <c r="V26" s="7"/>
    </row>
    <row r="27" spans="1:22" ht="24" customHeight="1" x14ac:dyDescent="0.4">
      <c r="A27" s="29" t="s">
        <v>41</v>
      </c>
      <c r="B27" s="8"/>
      <c r="C27" s="8"/>
      <c r="D27" s="18">
        <f>Worksheet!D27</f>
        <v>10</v>
      </c>
      <c r="E27" s="18">
        <f>Worksheet!E27</f>
        <v>440</v>
      </c>
      <c r="F27" s="18">
        <f>Worksheet!F27</f>
        <v>275</v>
      </c>
      <c r="G27" s="18">
        <f>Worksheet!G27</f>
        <v>6</v>
      </c>
      <c r="H27" s="19">
        <f>Worksheet!H27</f>
        <v>731</v>
      </c>
      <c r="I27" s="18">
        <v>478</v>
      </c>
      <c r="J27" s="18">
        <f>H27-I27</f>
        <v>253</v>
      </c>
      <c r="K27" s="28"/>
      <c r="L27" s="18">
        <f>(1-Worksheet!D64)*J27</f>
        <v>249.458</v>
      </c>
      <c r="M27" s="18"/>
      <c r="N27" s="18" t="s">
        <v>83</v>
      </c>
      <c r="R27" s="74"/>
    </row>
    <row r="28" spans="1:22" ht="21.75" customHeight="1" thickBot="1" x14ac:dyDescent="0.45">
      <c r="A28" s="8"/>
      <c r="B28" s="8"/>
      <c r="C28" s="8"/>
      <c r="D28" s="8"/>
      <c r="E28" s="8"/>
      <c r="F28" s="8"/>
      <c r="G28" s="24"/>
      <c r="H28" s="30"/>
    </row>
    <row r="29" spans="1:22" ht="21.75" customHeight="1" thickTop="1" x14ac:dyDescent="0.4">
      <c r="A29" s="26" t="s">
        <v>12</v>
      </c>
      <c r="B29" s="26"/>
      <c r="C29" s="26"/>
      <c r="D29" s="27">
        <f t="shared" ref="D29:G29" si="1">SUM(D19:D27)</f>
        <v>1948</v>
      </c>
      <c r="E29" s="27">
        <f t="shared" si="1"/>
        <v>14061</v>
      </c>
      <c r="F29" s="27">
        <f t="shared" si="1"/>
        <v>7914</v>
      </c>
      <c r="G29" s="27">
        <f t="shared" si="1"/>
        <v>174</v>
      </c>
      <c r="H29" s="19">
        <f>SUM(H19:H27)</f>
        <v>24097</v>
      </c>
      <c r="I29" s="19">
        <f>SUM(I19:I27)</f>
        <v>14349.350014205684</v>
      </c>
      <c r="J29" s="19">
        <f>SUM(J19:J27)</f>
        <v>9747.6499857943163</v>
      </c>
      <c r="K29" s="19"/>
      <c r="L29" s="19">
        <f>SUM(L6:L27)</f>
        <v>9338.5280392879667</v>
      </c>
      <c r="M29" s="62"/>
    </row>
    <row r="30" spans="1:22" ht="21.75" customHeight="1" x14ac:dyDescent="0.4">
      <c r="A30" s="10"/>
      <c r="B30" s="10"/>
      <c r="C30" s="10"/>
      <c r="D30" s="34"/>
      <c r="E30" s="34"/>
      <c r="F30" s="34"/>
      <c r="G30" s="34"/>
      <c r="H30" s="19"/>
      <c r="N30" s="96"/>
      <c r="O30" s="96"/>
    </row>
    <row r="31" spans="1:22" ht="21.75" customHeight="1" x14ac:dyDescent="0.4">
      <c r="A31" s="8"/>
      <c r="B31" s="8"/>
      <c r="C31" s="8"/>
      <c r="D31" s="8"/>
      <c r="E31" s="8"/>
      <c r="F31" s="8"/>
      <c r="G31" s="8"/>
      <c r="H31" s="9"/>
      <c r="N31" s="79"/>
      <c r="O31" s="79"/>
      <c r="P31" s="15"/>
    </row>
    <row r="32" spans="1:22" ht="21.75" customHeight="1" x14ac:dyDescent="0.4">
      <c r="A32" s="9" t="s">
        <v>17</v>
      </c>
      <c r="B32" s="9"/>
      <c r="C32" s="9"/>
      <c r="D32" s="19">
        <f t="shared" ref="D32:J32" si="2">SUM(D15+D29)</f>
        <v>2022</v>
      </c>
      <c r="E32" s="19">
        <f t="shared" si="2"/>
        <v>17163</v>
      </c>
      <c r="F32" s="19">
        <f t="shared" si="2"/>
        <v>9884</v>
      </c>
      <c r="G32" s="19">
        <f t="shared" si="2"/>
        <v>245</v>
      </c>
      <c r="H32" s="19">
        <f t="shared" si="2"/>
        <v>29314</v>
      </c>
      <c r="I32" s="19">
        <f t="shared" si="2"/>
        <v>19217.350014205684</v>
      </c>
      <c r="J32" s="19">
        <f t="shared" si="2"/>
        <v>10096.649985794316</v>
      </c>
      <c r="K32" s="19"/>
      <c r="L32" s="62"/>
      <c r="M32" s="62"/>
      <c r="N32" s="91"/>
      <c r="O32" s="8"/>
      <c r="P32" s="38"/>
      <c r="S32" s="7" t="s">
        <v>17</v>
      </c>
    </row>
    <row r="33" spans="1:20" ht="21.75" customHeight="1" x14ac:dyDescent="0.4">
      <c r="A33" s="8" t="s">
        <v>18</v>
      </c>
      <c r="B33" s="8"/>
      <c r="C33" s="8"/>
      <c r="D33" s="36">
        <f>(D32/H32)</f>
        <v>6.8977280480316566E-2</v>
      </c>
      <c r="E33" s="36">
        <f>E32/H32</f>
        <v>0.58548816265265746</v>
      </c>
      <c r="F33" s="36">
        <f>(F32/H32)</f>
        <v>0.33717677560210141</v>
      </c>
      <c r="G33" s="36">
        <f>(G32/H32)</f>
        <v>8.3577812649246099E-3</v>
      </c>
      <c r="H33" s="19"/>
      <c r="I33" s="67">
        <f>I32/H32</f>
        <v>0.65556901187847727</v>
      </c>
      <c r="J33" s="67">
        <f>J32/H32</f>
        <v>0.34443098812152267</v>
      </c>
      <c r="N33" s="38"/>
      <c r="O33" s="92"/>
      <c r="P33" s="8"/>
      <c r="S33" s="7" t="s">
        <v>106</v>
      </c>
    </row>
    <row r="34" spans="1:20" ht="21.75" customHeight="1" x14ac:dyDescent="0.4">
      <c r="A34" s="29"/>
      <c r="B34" s="8"/>
      <c r="C34" s="8"/>
      <c r="D34" s="8"/>
      <c r="E34" s="8"/>
      <c r="F34" s="8"/>
      <c r="G34" s="8"/>
      <c r="H34" s="9"/>
      <c r="N34" s="8"/>
      <c r="O34" s="8"/>
      <c r="P34" s="8"/>
      <c r="S34" s="7">
        <v>2008</v>
      </c>
      <c r="T34" s="97">
        <v>0.27544231612808889</v>
      </c>
    </row>
    <row r="35" spans="1:20" ht="21.75" customHeight="1" x14ac:dyDescent="0.4">
      <c r="A35" s="37" t="s">
        <v>19</v>
      </c>
      <c r="B35" s="9"/>
      <c r="C35" s="9"/>
      <c r="D35" s="19">
        <f t="shared" ref="D35:J35" si="3">(D32-(D6+D7+D8))</f>
        <v>2013</v>
      </c>
      <c r="E35" s="19">
        <f t="shared" si="3"/>
        <v>16873</v>
      </c>
      <c r="F35" s="19">
        <f t="shared" si="3"/>
        <v>9671</v>
      </c>
      <c r="G35" s="19">
        <f t="shared" si="3"/>
        <v>215</v>
      </c>
      <c r="H35" s="19">
        <f t="shared" si="3"/>
        <v>28772</v>
      </c>
      <c r="I35" s="19">
        <f t="shared" si="3"/>
        <v>18810.350014205684</v>
      </c>
      <c r="J35" s="19">
        <f t="shared" si="3"/>
        <v>9961.6499857943163</v>
      </c>
      <c r="K35" s="19"/>
      <c r="L35" s="18"/>
      <c r="N35" s="8"/>
      <c r="O35" s="8"/>
      <c r="P35" s="8"/>
      <c r="S35" s="7">
        <v>2009</v>
      </c>
      <c r="T35" s="97">
        <v>0.22539964476021315</v>
      </c>
    </row>
    <row r="36" spans="1:20" ht="21.75" customHeight="1" x14ac:dyDescent="0.4">
      <c r="A36" s="8" t="s">
        <v>18</v>
      </c>
      <c r="B36" s="8"/>
      <c r="C36" s="8"/>
      <c r="D36" s="36">
        <f>ROUND(D35/H35,4)</f>
        <v>7.0000000000000007E-2</v>
      </c>
      <c r="E36" s="36">
        <f>ROUND(E35/H35,4)</f>
        <v>0.58640000000000003</v>
      </c>
      <c r="F36" s="36">
        <f>ROUND(F35/H35,4)</f>
        <v>0.33610000000000001</v>
      </c>
      <c r="G36" s="36">
        <f>ROUND(G35/H35,4)</f>
        <v>7.4999999999999997E-3</v>
      </c>
      <c r="H36" s="9"/>
      <c r="I36" s="67">
        <f>I35/H35</f>
        <v>0.65377276568211051</v>
      </c>
      <c r="J36" s="67">
        <f>J35/H35</f>
        <v>0.34622723431788949</v>
      </c>
      <c r="L36" s="36"/>
      <c r="N36" s="8"/>
      <c r="O36" s="8"/>
      <c r="P36" s="8"/>
      <c r="S36" s="7">
        <v>2010</v>
      </c>
      <c r="T36" s="97">
        <v>0.14960532443056485</v>
      </c>
    </row>
    <row r="37" spans="1:20" ht="21.75" customHeight="1" x14ac:dyDescent="0.4">
      <c r="A37" s="29"/>
      <c r="B37" s="8"/>
      <c r="C37" s="8"/>
      <c r="D37" s="8"/>
      <c r="E37" s="8"/>
      <c r="F37" s="8"/>
      <c r="G37" s="8"/>
      <c r="H37" s="9"/>
      <c r="N37" s="8"/>
      <c r="O37" s="8"/>
      <c r="P37" s="8"/>
      <c r="S37" s="7">
        <v>2011</v>
      </c>
      <c r="T37" s="97">
        <v>0.20680000000000001</v>
      </c>
    </row>
    <row r="38" spans="1:20" ht="21.75" customHeight="1" x14ac:dyDescent="0.4">
      <c r="A38" s="9" t="s">
        <v>20</v>
      </c>
      <c r="B38" s="9"/>
      <c r="C38" s="9"/>
      <c r="D38" s="19">
        <f t="shared" ref="D38:G38" si="4">(D11+D12+D21+D22+D23+D24+D25+D26)</f>
        <v>203</v>
      </c>
      <c r="E38" s="19">
        <f t="shared" si="4"/>
        <v>1840</v>
      </c>
      <c r="F38" s="19">
        <f t="shared" si="4"/>
        <v>649</v>
      </c>
      <c r="G38" s="19">
        <f t="shared" si="4"/>
        <v>0</v>
      </c>
      <c r="H38" s="19">
        <f>(H11+H12+H21+H22+H23+H24+H25+H26)</f>
        <v>2692</v>
      </c>
      <c r="I38" s="19">
        <f>(I11+I12+I21+I22+I23+I24+I25+I26)</f>
        <v>235.09595202398802</v>
      </c>
      <c r="J38" s="19">
        <f>(J11+J12+J21+J22+J23+J24+J25+J26)</f>
        <v>2456.904047976012</v>
      </c>
      <c r="K38" s="19"/>
      <c r="L38" s="18"/>
      <c r="N38" s="8"/>
      <c r="O38" s="8"/>
      <c r="P38" s="8"/>
      <c r="S38" s="7">
        <v>2012</v>
      </c>
      <c r="T38" s="97">
        <v>0.17533074021248818</v>
      </c>
    </row>
    <row r="39" spans="1:20" ht="21.75" customHeight="1" x14ac:dyDescent="0.4">
      <c r="A39" s="8" t="s">
        <v>18</v>
      </c>
      <c r="B39" s="8"/>
      <c r="C39" s="8"/>
      <c r="D39" s="36">
        <f>ROUND(D38/H38,4)</f>
        <v>7.5399999999999995E-2</v>
      </c>
      <c r="E39" s="36">
        <f>ROUND(E38/H38,4)</f>
        <v>0.6835</v>
      </c>
      <c r="F39" s="36">
        <f>ROUND(F38/H38,4)</f>
        <v>0.24110000000000001</v>
      </c>
      <c r="G39" s="36">
        <f>ROUND(G38/H38,4)</f>
        <v>0</v>
      </c>
      <c r="H39" s="36"/>
      <c r="I39" s="36">
        <f>I38/H38</f>
        <v>8.7331334332833591E-2</v>
      </c>
      <c r="J39" s="36">
        <f>J38/H38</f>
        <v>0.91266866566716642</v>
      </c>
      <c r="K39" s="36"/>
      <c r="N39" s="8"/>
      <c r="O39" s="8"/>
      <c r="P39" s="8"/>
      <c r="S39" s="7">
        <v>2013</v>
      </c>
      <c r="T39" s="97">
        <v>0.21984391515568358</v>
      </c>
    </row>
    <row r="40" spans="1:20" ht="21.75" customHeight="1" x14ac:dyDescent="0.4">
      <c r="A40" s="8"/>
      <c r="B40" s="8"/>
      <c r="C40" s="8"/>
      <c r="D40" s="36"/>
      <c r="E40" s="36"/>
      <c r="F40" s="36"/>
      <c r="G40" s="36"/>
      <c r="H40" s="9"/>
      <c r="N40" s="8"/>
      <c r="O40" s="8"/>
      <c r="P40" s="8"/>
      <c r="S40" s="7">
        <v>2014</v>
      </c>
      <c r="T40" s="97">
        <v>0.16749297968472482</v>
      </c>
    </row>
    <row r="41" spans="1:20" ht="21.75" customHeight="1" x14ac:dyDescent="0.4">
      <c r="A41" s="8"/>
      <c r="B41" s="8"/>
      <c r="C41" s="8"/>
      <c r="D41" s="36"/>
      <c r="E41" s="36"/>
      <c r="F41" s="36"/>
      <c r="G41" s="36"/>
      <c r="H41" s="9"/>
      <c r="N41" s="8"/>
      <c r="O41" s="8"/>
      <c r="P41" s="8"/>
      <c r="S41" s="7">
        <v>2015</v>
      </c>
      <c r="T41" s="97">
        <v>0.15526441639581492</v>
      </c>
    </row>
    <row r="42" spans="1:20" ht="21.75" customHeight="1" x14ac:dyDescent="0.4">
      <c r="A42" s="8" t="s">
        <v>21</v>
      </c>
      <c r="B42" s="8"/>
      <c r="C42" s="8"/>
      <c r="D42" s="8"/>
      <c r="E42" s="8"/>
      <c r="H42" s="19">
        <f>I42+J42</f>
        <v>2818.7262313600786</v>
      </c>
      <c r="I42" s="19">
        <f>((+I38/(I13+I19+I20+I27+I38))*(I9+I10))+I38</f>
        <v>308.14084668806561</v>
      </c>
      <c r="J42" s="19">
        <f>((+J38/(J13+J19+J20+J27+J38))*(J9+J10))+J38</f>
        <v>2510.5853846720129</v>
      </c>
      <c r="K42" s="19"/>
      <c r="L42" s="18"/>
      <c r="N42" s="91"/>
      <c r="O42" s="8"/>
      <c r="P42" s="38"/>
      <c r="S42" s="7">
        <v>2016</v>
      </c>
      <c r="T42" s="97">
        <v>0.23303203078055382</v>
      </c>
    </row>
    <row r="43" spans="1:20" ht="21.75" customHeight="1" x14ac:dyDescent="0.4">
      <c r="A43" s="8"/>
      <c r="B43" s="8"/>
      <c r="C43" s="8"/>
      <c r="D43" s="36"/>
      <c r="E43" s="36"/>
      <c r="F43" s="36"/>
      <c r="G43" s="36"/>
      <c r="H43" s="9"/>
      <c r="I43" s="67">
        <f>I42/H42</f>
        <v>0.10931918228163043</v>
      </c>
      <c r="J43" s="67">
        <f>J42/H42</f>
        <v>0.89068081771836949</v>
      </c>
      <c r="N43" s="38"/>
      <c r="O43" s="92"/>
      <c r="P43" s="8"/>
      <c r="S43" s="7">
        <v>2017</v>
      </c>
      <c r="T43" s="97">
        <v>0.23446103548711839</v>
      </c>
    </row>
    <row r="44" spans="1:20" ht="21.75" customHeight="1" x14ac:dyDescent="0.4">
      <c r="A44" s="8" t="s">
        <v>102</v>
      </c>
      <c r="B44" s="8"/>
      <c r="C44" s="8"/>
      <c r="D44" s="8"/>
      <c r="E44" s="8"/>
      <c r="I44" s="19">
        <f>I42-I38</f>
        <v>73.044894664077589</v>
      </c>
      <c r="J44" s="19">
        <f>J42-J38</f>
        <v>53.681336696000926</v>
      </c>
      <c r="K44" s="19"/>
      <c r="S44" s="7">
        <v>2018</v>
      </c>
      <c r="T44" s="97">
        <v>0.25463493771128665</v>
      </c>
    </row>
    <row r="45" spans="1:20" ht="21.75" customHeight="1" x14ac:dyDescent="0.4">
      <c r="A45" s="8"/>
      <c r="B45" s="8"/>
      <c r="C45" s="8"/>
      <c r="D45" s="8"/>
      <c r="E45" s="8"/>
      <c r="H45" s="18"/>
      <c r="S45" s="7">
        <v>2019</v>
      </c>
      <c r="T45" s="40">
        <v>0.34399999999999997</v>
      </c>
    </row>
    <row r="46" spans="1:20" ht="21.75" customHeight="1" x14ac:dyDescent="0.4">
      <c r="A46" s="29"/>
      <c r="B46" s="4"/>
      <c r="C46" s="4"/>
      <c r="D46" s="4"/>
      <c r="E46" s="4"/>
      <c r="F46" s="4"/>
      <c r="G46" s="4"/>
      <c r="H46" s="4"/>
      <c r="I46" s="6"/>
      <c r="S46" s="7">
        <v>2020</v>
      </c>
    </row>
    <row r="47" spans="1:20" ht="21.75" customHeight="1" x14ac:dyDescent="0.4">
      <c r="A47" s="81"/>
      <c r="B47" s="81"/>
      <c r="C47" s="81"/>
      <c r="D47" s="81"/>
      <c r="E47" s="81"/>
      <c r="F47" s="81"/>
      <c r="G47" s="81"/>
      <c r="H47" s="81"/>
      <c r="I47" s="6"/>
      <c r="S47" s="7" t="s">
        <v>107</v>
      </c>
      <c r="T47" s="40">
        <f>AVERAGE(T41:T45)</f>
        <v>0.24427848407495478</v>
      </c>
    </row>
    <row r="48" spans="1:20" ht="21.75" customHeight="1" x14ac:dyDescent="0.4">
      <c r="A48" s="4"/>
      <c r="B48" s="4"/>
      <c r="C48" s="4"/>
      <c r="D48" s="82"/>
      <c r="E48" s="82"/>
      <c r="F48" s="82"/>
      <c r="G48" s="82"/>
      <c r="H48" s="82"/>
      <c r="I48" s="6"/>
    </row>
    <row r="49" spans="1:9" ht="21.75" customHeight="1" x14ac:dyDescent="0.4">
      <c r="A49" s="4"/>
      <c r="B49" s="4"/>
      <c r="C49" s="4"/>
      <c r="D49" s="82"/>
      <c r="E49" s="82"/>
      <c r="F49" s="82"/>
      <c r="G49" s="82"/>
      <c r="H49" s="82"/>
      <c r="I49" s="6"/>
    </row>
    <row r="50" spans="1:9" ht="21.75" customHeight="1" x14ac:dyDescent="0.4">
      <c r="A50" s="4"/>
      <c r="B50" s="4"/>
      <c r="C50" s="4"/>
      <c r="D50" s="82"/>
      <c r="E50" s="82"/>
      <c r="F50" s="82"/>
      <c r="G50" s="82"/>
      <c r="H50" s="82"/>
      <c r="I50" s="6"/>
    </row>
    <row r="51" spans="1:9" ht="21.75" customHeight="1" x14ac:dyDescent="0.4">
      <c r="A51" s="4"/>
      <c r="B51" s="4"/>
      <c r="C51" s="4"/>
      <c r="D51" s="82"/>
      <c r="E51" s="82"/>
      <c r="F51" s="82"/>
      <c r="G51" s="82"/>
      <c r="H51" s="82"/>
      <c r="I51" s="6"/>
    </row>
    <row r="52" spans="1:9" ht="21.75" customHeight="1" x14ac:dyDescent="0.4">
      <c r="A52" s="4"/>
      <c r="B52" s="4"/>
      <c r="C52" s="4"/>
      <c r="D52" s="82"/>
      <c r="E52" s="82"/>
      <c r="F52" s="82"/>
      <c r="G52" s="82"/>
      <c r="H52" s="82"/>
      <c r="I52" s="6"/>
    </row>
    <row r="53" spans="1:9" ht="24" customHeight="1" x14ac:dyDescent="0.4">
      <c r="A53" s="4"/>
      <c r="B53" s="4"/>
      <c r="C53" s="4"/>
      <c r="D53" s="82"/>
      <c r="E53" s="82"/>
      <c r="F53" s="82"/>
      <c r="G53" s="82"/>
      <c r="H53" s="82"/>
      <c r="I53" s="6"/>
    </row>
    <row r="54" spans="1:9" ht="25.5" customHeight="1" x14ac:dyDescent="0.4">
      <c r="A54" s="4"/>
      <c r="B54" s="4"/>
      <c r="C54" s="4"/>
      <c r="D54" s="82"/>
      <c r="E54" s="82"/>
      <c r="F54" s="82"/>
      <c r="G54" s="82"/>
      <c r="H54" s="82"/>
      <c r="I54" s="6"/>
    </row>
    <row r="55" spans="1:9" ht="25.5" customHeight="1" x14ac:dyDescent="0.4">
      <c r="A55" s="4"/>
      <c r="B55" s="4"/>
      <c r="C55" s="4"/>
      <c r="D55" s="82"/>
      <c r="E55" s="82"/>
      <c r="F55" s="82"/>
      <c r="G55" s="82"/>
      <c r="H55" s="82"/>
      <c r="I55" s="6"/>
    </row>
    <row r="56" spans="1:9" ht="24" customHeight="1" x14ac:dyDescent="0.4">
      <c r="A56" s="4"/>
      <c r="B56" s="4"/>
      <c r="C56" s="4"/>
      <c r="D56" s="82"/>
      <c r="E56" s="82"/>
      <c r="F56" s="82"/>
      <c r="G56" s="82"/>
      <c r="H56" s="82"/>
      <c r="I56" s="6"/>
    </row>
    <row r="57" spans="1:9" ht="24.75" customHeight="1" x14ac:dyDescent="0.4">
      <c r="A57" s="4"/>
      <c r="B57" s="4"/>
      <c r="C57" s="4"/>
      <c r="D57" s="82"/>
      <c r="E57" s="82"/>
      <c r="F57" s="82"/>
      <c r="G57" s="82"/>
      <c r="H57" s="82"/>
      <c r="I57" s="6"/>
    </row>
    <row r="58" spans="1:9" ht="24.75" customHeight="1" x14ac:dyDescent="0.4">
      <c r="A58" s="4"/>
      <c r="B58" s="4"/>
      <c r="C58" s="4">
        <f>5033/2980</f>
        <v>1.6889261744966444</v>
      </c>
      <c r="D58" s="82"/>
      <c r="E58" s="82"/>
      <c r="F58" s="82"/>
      <c r="G58" s="82"/>
      <c r="H58" s="82"/>
      <c r="I58" s="6"/>
    </row>
    <row r="59" spans="1:9" ht="27" customHeight="1" x14ac:dyDescent="0.4">
      <c r="A59" s="4"/>
      <c r="B59" s="4"/>
      <c r="C59" s="4"/>
      <c r="D59" s="82"/>
      <c r="E59" s="82"/>
      <c r="F59" s="82"/>
      <c r="G59" s="82"/>
      <c r="H59" s="82"/>
      <c r="I59" s="6"/>
    </row>
    <row r="60" spans="1:9" ht="25.5" customHeight="1" x14ac:dyDescent="0.4">
      <c r="A60" s="4"/>
      <c r="B60" s="4"/>
      <c r="C60" s="4"/>
      <c r="D60" s="82"/>
      <c r="E60" s="82"/>
      <c r="F60" s="82"/>
      <c r="G60" s="82"/>
      <c r="H60" s="82"/>
      <c r="I60" s="6"/>
    </row>
    <row r="61" spans="1:9" ht="24" customHeight="1" x14ac:dyDescent="0.4">
      <c r="A61" s="4"/>
      <c r="B61" s="4"/>
      <c r="C61" s="4"/>
      <c r="D61" s="82"/>
      <c r="E61" s="82"/>
      <c r="F61" s="82"/>
      <c r="G61" s="82"/>
      <c r="H61" s="82"/>
      <c r="I61" s="6"/>
    </row>
    <row r="62" spans="1:9" ht="24" customHeight="1" x14ac:dyDescent="0.4">
      <c r="A62" s="4"/>
      <c r="B62" s="4"/>
      <c r="C62" s="4"/>
      <c r="D62" s="82"/>
      <c r="E62" s="82"/>
      <c r="F62" s="82"/>
      <c r="G62" s="82"/>
      <c r="H62" s="82"/>
      <c r="I62" s="6"/>
    </row>
    <row r="63" spans="1:9" ht="24" customHeight="1" x14ac:dyDescent="0.4">
      <c r="A63" s="4"/>
      <c r="B63" s="4"/>
      <c r="C63" s="4"/>
      <c r="D63" s="82"/>
      <c r="E63" s="82"/>
      <c r="F63" s="82"/>
      <c r="G63" s="82"/>
      <c r="H63" s="82"/>
      <c r="I63" s="6"/>
    </row>
    <row r="64" spans="1:9" ht="27" customHeight="1" x14ac:dyDescent="0.4">
      <c r="A64" s="4"/>
      <c r="B64" s="4"/>
      <c r="C64" s="4"/>
      <c r="D64" s="82"/>
      <c r="E64" s="82"/>
      <c r="F64" s="82"/>
      <c r="G64" s="82"/>
      <c r="H64" s="82"/>
      <c r="I64" s="6"/>
    </row>
    <row r="65" spans="1:9" ht="26.25" customHeight="1" x14ac:dyDescent="0.4">
      <c r="A65" s="29"/>
      <c r="B65" s="4"/>
      <c r="C65" s="4"/>
      <c r="D65" s="82"/>
      <c r="E65" s="82"/>
      <c r="F65" s="82"/>
      <c r="G65" s="82"/>
      <c r="H65" s="82"/>
      <c r="I65" s="6"/>
    </row>
    <row r="66" spans="1:9" ht="21.75" customHeight="1" x14ac:dyDescent="0.4">
      <c r="A66" s="29"/>
      <c r="B66" s="4"/>
      <c r="C66" s="4"/>
      <c r="D66" s="41"/>
      <c r="E66" s="41"/>
      <c r="F66" s="41"/>
      <c r="G66" s="41"/>
      <c r="H66" s="82"/>
      <c r="I66" s="6"/>
    </row>
    <row r="67" spans="1:9" ht="21.75" customHeight="1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ht="24" customHeight="1" x14ac:dyDescent="0.4">
      <c r="A68" s="83"/>
      <c r="B68" s="4"/>
      <c r="C68" s="4"/>
      <c r="D68" s="4"/>
      <c r="E68" s="4"/>
      <c r="F68" s="4"/>
      <c r="G68" s="4"/>
      <c r="H68" s="4"/>
      <c r="I68" s="6"/>
    </row>
    <row r="69" spans="1:9" ht="24" customHeight="1" x14ac:dyDescent="0.4">
      <c r="A69" s="83"/>
      <c r="B69" s="4"/>
      <c r="C69" s="4"/>
      <c r="D69" s="4"/>
      <c r="E69" s="4"/>
      <c r="F69" s="4"/>
      <c r="G69" s="82"/>
      <c r="H69" s="4"/>
      <c r="I69" s="6"/>
    </row>
    <row r="70" spans="1:9" ht="24" customHeight="1" x14ac:dyDescent="0.4">
      <c r="A70" s="83"/>
      <c r="B70" s="4"/>
      <c r="C70" s="4"/>
      <c r="D70" s="4"/>
      <c r="E70" s="4"/>
      <c r="F70" s="4"/>
      <c r="G70" s="4"/>
      <c r="H70" s="4"/>
      <c r="I70" s="6"/>
    </row>
    <row r="71" spans="1:9" ht="25.5" customHeight="1" x14ac:dyDescent="0.4">
      <c r="A71" s="83"/>
      <c r="B71" s="4"/>
      <c r="C71" s="4"/>
      <c r="D71" s="4"/>
      <c r="E71" s="4"/>
      <c r="F71" s="4"/>
      <c r="G71" s="4"/>
      <c r="H71" s="4"/>
      <c r="I71" s="6"/>
    </row>
    <row r="72" spans="1:9" ht="24" customHeight="1" x14ac:dyDescent="0.4">
      <c r="A72" s="83"/>
      <c r="B72" s="4"/>
      <c r="C72" s="4"/>
      <c r="D72" s="4"/>
      <c r="E72" s="4"/>
      <c r="F72" s="4"/>
      <c r="G72" s="4"/>
      <c r="H72" s="4"/>
      <c r="I72" s="6"/>
    </row>
    <row r="73" spans="1:9" ht="25.5" customHeight="1" x14ac:dyDescent="0.4">
      <c r="A73" s="83"/>
      <c r="B73" s="4"/>
      <c r="C73" s="4"/>
      <c r="D73" s="4"/>
      <c r="E73" s="4"/>
      <c r="F73" s="4"/>
      <c r="G73" s="4"/>
      <c r="H73" s="4"/>
      <c r="I73" s="6"/>
    </row>
    <row r="74" spans="1:9" ht="24" customHeight="1" x14ac:dyDescent="0.4">
      <c r="A74" s="83"/>
      <c r="B74" s="6"/>
      <c r="C74" s="6"/>
      <c r="D74" s="6"/>
      <c r="E74" s="6"/>
      <c r="F74" s="6"/>
      <c r="G74" s="6"/>
      <c r="H74" s="6"/>
      <c r="I74" s="6"/>
    </row>
    <row r="75" spans="1:9" ht="21.75" customHeight="1" x14ac:dyDescent="0.4">
      <c r="A75" s="4"/>
      <c r="B75" s="4"/>
      <c r="C75" s="4"/>
      <c r="D75" s="4"/>
      <c r="E75" s="4"/>
      <c r="F75" s="4"/>
      <c r="G75" s="4"/>
      <c r="H75" s="4"/>
      <c r="I75" s="6"/>
    </row>
    <row r="76" spans="1:9" ht="21.75" customHeight="1" x14ac:dyDescent="0.4">
      <c r="A76" s="4"/>
      <c r="B76" s="4"/>
      <c r="C76" s="4"/>
      <c r="D76" s="4"/>
      <c r="E76" s="4"/>
      <c r="F76" s="4"/>
      <c r="G76" s="4"/>
      <c r="H76" s="4"/>
      <c r="I76" s="6"/>
    </row>
    <row r="77" spans="1:9" ht="21.75" customHeight="1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ht="21.75" customHeight="1" x14ac:dyDescent="0.4">
      <c r="A78" s="6"/>
      <c r="B78" s="6"/>
      <c r="C78" s="6"/>
      <c r="D78" s="6"/>
      <c r="E78" s="6"/>
      <c r="F78" s="6"/>
      <c r="G78" s="6"/>
      <c r="H78" s="6"/>
      <c r="I78" s="6"/>
    </row>
    <row r="79" spans="1:9" ht="21.75" customHeight="1" x14ac:dyDescent="0.4"/>
    <row r="80" spans="1:9" ht="21.75" customHeight="1" x14ac:dyDescent="0.4"/>
    <row r="81" spans="1:8" ht="21.75" customHeight="1" x14ac:dyDescent="0.4"/>
    <row r="82" spans="1:8" ht="21.75" customHeight="1" x14ac:dyDescent="0.4"/>
    <row r="83" spans="1:8" ht="21.75" customHeight="1" x14ac:dyDescent="0.4">
      <c r="A83" s="6"/>
      <c r="B83" s="95"/>
      <c r="C83" s="95"/>
      <c r="D83" s="95"/>
      <c r="E83" s="95"/>
      <c r="F83" s="6"/>
      <c r="G83" s="6"/>
      <c r="H83" s="53"/>
    </row>
    <row r="84" spans="1:8" ht="21.75" customHeight="1" x14ac:dyDescent="0.4">
      <c r="A84" s="6"/>
      <c r="B84" s="6"/>
      <c r="C84" s="44"/>
      <c r="D84" s="45"/>
      <c r="E84" s="45"/>
      <c r="F84" s="6"/>
      <c r="G84" s="6"/>
      <c r="H84" s="6"/>
    </row>
    <row r="85" spans="1:8" ht="21.75" customHeight="1" x14ac:dyDescent="0.4">
      <c r="A85" s="6"/>
      <c r="B85" s="6"/>
      <c r="C85" s="46"/>
      <c r="D85" s="45"/>
      <c r="E85" s="6"/>
      <c r="F85" s="6"/>
      <c r="G85" s="6"/>
      <c r="H85" s="6"/>
    </row>
    <row r="86" spans="1:8" ht="21.75" customHeight="1" x14ac:dyDescent="0.4">
      <c r="A86" s="6"/>
      <c r="B86" s="6"/>
      <c r="C86" s="46"/>
      <c r="D86" s="45"/>
      <c r="E86" s="6"/>
      <c r="F86" s="6"/>
      <c r="G86" s="6"/>
      <c r="H86" s="6"/>
    </row>
    <row r="87" spans="1:8" ht="21.75" customHeight="1" x14ac:dyDescent="0.4">
      <c r="A87" s="6"/>
      <c r="B87" s="6"/>
      <c r="C87" s="46"/>
      <c r="D87" s="45"/>
      <c r="E87" s="6"/>
      <c r="F87" s="6"/>
      <c r="G87" s="6"/>
      <c r="H87" s="6"/>
    </row>
    <row r="88" spans="1:8" ht="21.75" customHeight="1" x14ac:dyDescent="0.4">
      <c r="A88" s="6"/>
      <c r="B88" s="6"/>
      <c r="C88" s="46"/>
      <c r="D88" s="45"/>
      <c r="E88" s="6"/>
      <c r="F88" s="6"/>
      <c r="G88" s="6"/>
      <c r="H88" s="6"/>
    </row>
    <row r="89" spans="1:8" ht="21.75" customHeight="1" x14ac:dyDescent="0.4">
      <c r="A89" s="6"/>
      <c r="B89" s="6"/>
      <c r="C89" s="46"/>
      <c r="D89" s="45"/>
      <c r="E89" s="41"/>
      <c r="F89" s="6"/>
      <c r="G89" s="6"/>
      <c r="H89" s="6"/>
    </row>
    <row r="90" spans="1:8" ht="21.75" customHeight="1" x14ac:dyDescent="0.4">
      <c r="A90" s="6"/>
      <c r="B90" s="6"/>
      <c r="C90" s="6"/>
      <c r="D90" s="6"/>
      <c r="E90" s="6"/>
      <c r="F90" s="6"/>
      <c r="G90" s="6"/>
    </row>
    <row r="91" spans="1:8" ht="21.75" customHeight="1" x14ac:dyDescent="0.4">
      <c r="A91" s="6"/>
      <c r="B91" s="47"/>
      <c r="C91" s="47"/>
      <c r="D91" s="47"/>
      <c r="E91" s="47"/>
      <c r="F91" s="6"/>
      <c r="G91" s="6"/>
    </row>
    <row r="92" spans="1:8" ht="21.75" customHeight="1" x14ac:dyDescent="0.4">
      <c r="A92" s="6"/>
      <c r="B92" s="6"/>
      <c r="C92" s="44"/>
      <c r="D92" s="45"/>
      <c r="E92" s="45"/>
      <c r="F92" s="6"/>
      <c r="G92" s="6"/>
    </row>
    <row r="93" spans="1:8" ht="21.75" customHeight="1" x14ac:dyDescent="0.4">
      <c r="A93" s="6"/>
      <c r="B93" s="6"/>
      <c r="C93" s="46"/>
      <c r="D93" s="45"/>
      <c r="E93" s="41"/>
      <c r="F93" s="41"/>
      <c r="G93" s="6"/>
    </row>
    <row r="94" spans="1:8" ht="21.75" customHeight="1" x14ac:dyDescent="0.4">
      <c r="A94" s="6"/>
      <c r="B94" s="6"/>
      <c r="C94" s="46"/>
      <c r="D94" s="45"/>
      <c r="E94" s="41"/>
      <c r="F94" s="41"/>
      <c r="G94" s="6"/>
    </row>
    <row r="95" spans="1:8" ht="21.75" customHeight="1" x14ac:dyDescent="0.4">
      <c r="A95" s="6"/>
      <c r="B95" s="6"/>
      <c r="C95" s="46"/>
      <c r="D95" s="45"/>
      <c r="E95" s="41"/>
      <c r="F95" s="41"/>
      <c r="G95" s="6"/>
    </row>
    <row r="96" spans="1:8" ht="21.75" customHeight="1" x14ac:dyDescent="0.4">
      <c r="A96" s="6"/>
      <c r="B96" s="6"/>
      <c r="C96" s="46"/>
      <c r="D96" s="45"/>
      <c r="E96" s="41"/>
      <c r="F96" s="41"/>
      <c r="G96" s="6"/>
    </row>
    <row r="97" spans="1:7" ht="21.75" customHeight="1" x14ac:dyDescent="0.4">
      <c r="A97" s="6"/>
      <c r="B97" s="6"/>
      <c r="C97" s="46"/>
      <c r="D97" s="45"/>
      <c r="E97" s="41"/>
      <c r="F97" s="48"/>
      <c r="G97" s="6"/>
    </row>
    <row r="98" spans="1:7" ht="21.75" customHeight="1" x14ac:dyDescent="0.4">
      <c r="A98" s="6"/>
      <c r="B98" s="6"/>
      <c r="C98" s="6"/>
      <c r="D98" s="6"/>
      <c r="E98" s="6"/>
      <c r="F98" s="6"/>
      <c r="G98" s="6"/>
    </row>
    <row r="99" spans="1:7" ht="21.75" customHeight="1" x14ac:dyDescent="0.4">
      <c r="A99" s="6"/>
      <c r="B99" s="6"/>
      <c r="C99" s="6"/>
      <c r="D99" s="6"/>
      <c r="E99" s="6"/>
      <c r="F99" s="6"/>
      <c r="G99" s="6"/>
    </row>
    <row r="100" spans="1:7" ht="21.75" customHeight="1" x14ac:dyDescent="0.4">
      <c r="A100" s="6"/>
      <c r="B100" s="6"/>
      <c r="C100" s="6"/>
      <c r="D100" s="6"/>
      <c r="E100" s="6"/>
      <c r="F100" s="6"/>
      <c r="G100" s="6"/>
    </row>
    <row r="101" spans="1:7" ht="21.75" customHeight="1" x14ac:dyDescent="0.4">
      <c r="A101" s="6"/>
      <c r="B101" s="6"/>
      <c r="C101" s="6"/>
      <c r="D101" s="6"/>
      <c r="E101" s="6"/>
      <c r="F101" s="6"/>
      <c r="G101" s="6"/>
    </row>
    <row r="102" spans="1:7" ht="21.75" customHeight="1" x14ac:dyDescent="0.4">
      <c r="A102" s="6"/>
      <c r="B102" s="6"/>
      <c r="C102" s="6"/>
      <c r="D102" s="6"/>
      <c r="E102" s="6"/>
      <c r="F102" s="6"/>
      <c r="G102" s="6"/>
    </row>
    <row r="103" spans="1:7" ht="21.75" customHeight="1" x14ac:dyDescent="0.4">
      <c r="A103" s="6"/>
      <c r="B103" s="6"/>
      <c r="C103" s="49"/>
      <c r="D103" s="49"/>
      <c r="E103" s="49"/>
      <c r="F103" s="49"/>
      <c r="G103" s="6"/>
    </row>
    <row r="104" spans="1:7" ht="21.75" customHeight="1" x14ac:dyDescent="0.4">
      <c r="A104" s="6"/>
      <c r="B104" s="6"/>
      <c r="C104" s="49"/>
      <c r="D104" s="49"/>
      <c r="E104" s="49"/>
      <c r="F104" s="49"/>
      <c r="G104" s="6"/>
    </row>
    <row r="105" spans="1:7" ht="21.75" customHeight="1" x14ac:dyDescent="0.4">
      <c r="A105" s="6"/>
      <c r="B105" s="6"/>
      <c r="C105" s="49"/>
      <c r="D105" s="49"/>
      <c r="E105" s="49"/>
      <c r="F105" s="49"/>
      <c r="G105" s="6"/>
    </row>
    <row r="106" spans="1:7" ht="21.75" customHeight="1" x14ac:dyDescent="0.4">
      <c r="A106" s="6"/>
      <c r="B106" s="6"/>
      <c r="C106" s="49"/>
      <c r="D106" s="49"/>
      <c r="E106" s="49"/>
      <c r="F106" s="49"/>
      <c r="G106" s="6"/>
    </row>
    <row r="107" spans="1:7" ht="21.75" customHeight="1" x14ac:dyDescent="0.4">
      <c r="A107" s="6"/>
      <c r="B107" s="6"/>
      <c r="C107" s="49"/>
      <c r="D107" s="49"/>
      <c r="E107" s="49"/>
      <c r="F107" s="49"/>
      <c r="G107" s="6"/>
    </row>
    <row r="108" spans="1:7" ht="21.75" customHeight="1" x14ac:dyDescent="0.4">
      <c r="A108" s="6"/>
      <c r="B108" s="6"/>
      <c r="C108" s="6"/>
      <c r="D108" s="6"/>
      <c r="E108" s="6"/>
      <c r="F108" s="6"/>
      <c r="G108" s="6"/>
    </row>
    <row r="109" spans="1:7" ht="21.75" customHeight="1" x14ac:dyDescent="0.4">
      <c r="A109" s="6"/>
      <c r="B109" s="6"/>
      <c r="C109" s="41"/>
      <c r="D109" s="41"/>
      <c r="E109" s="41"/>
      <c r="F109" s="6"/>
      <c r="G109" s="6"/>
    </row>
    <row r="110" spans="1:7" ht="21.75" customHeight="1" x14ac:dyDescent="0.4">
      <c r="A110" s="6"/>
      <c r="B110" s="6"/>
      <c r="C110" s="6"/>
      <c r="D110" s="6"/>
      <c r="E110" s="6"/>
      <c r="F110" s="6"/>
      <c r="G110" s="6"/>
    </row>
    <row r="111" spans="1:7" ht="21.75" customHeight="1" x14ac:dyDescent="0.4">
      <c r="A111" s="6"/>
      <c r="B111" s="6"/>
      <c r="C111" s="6"/>
      <c r="D111" s="6"/>
      <c r="E111" s="6"/>
      <c r="F111" s="6"/>
      <c r="G111" s="6"/>
    </row>
    <row r="112" spans="1:7" ht="21.75" customHeight="1" x14ac:dyDescent="0.4">
      <c r="A112" s="6"/>
      <c r="B112" s="6"/>
      <c r="C112" s="6"/>
      <c r="D112" s="6"/>
      <c r="E112" s="6"/>
      <c r="F112" s="6"/>
      <c r="G112" s="6"/>
    </row>
    <row r="113" spans="1:8" ht="21.75" customHeight="1" x14ac:dyDescent="0.4">
      <c r="A113" s="6"/>
      <c r="B113" s="6"/>
      <c r="C113" s="6"/>
      <c r="D113" s="6"/>
      <c r="E113" s="6"/>
      <c r="F113" s="6"/>
      <c r="G113" s="6"/>
      <c r="H113" s="50"/>
    </row>
    <row r="114" spans="1:8" ht="21.75" customHeight="1" x14ac:dyDescent="0.4">
      <c r="A114" s="6"/>
      <c r="B114" s="6"/>
      <c r="C114" s="49"/>
      <c r="D114" s="49"/>
      <c r="E114" s="49"/>
      <c r="F114" s="6"/>
      <c r="G114" s="6"/>
    </row>
    <row r="115" spans="1:8" ht="21.75" customHeight="1" x14ac:dyDescent="0.4">
      <c r="A115" s="6"/>
      <c r="B115" s="6"/>
      <c r="C115" s="49"/>
      <c r="D115" s="49"/>
      <c r="E115" s="49"/>
      <c r="F115" s="6"/>
      <c r="G115" s="6"/>
    </row>
    <row r="116" spans="1:8" ht="21.75" customHeight="1" x14ac:dyDescent="0.4">
      <c r="A116" s="6"/>
      <c r="B116" s="6"/>
      <c r="C116" s="49"/>
      <c r="D116" s="49"/>
      <c r="E116" s="49"/>
      <c r="F116" s="6"/>
      <c r="G116" s="6"/>
    </row>
    <row r="117" spans="1:8" ht="21.75" customHeight="1" x14ac:dyDescent="0.4">
      <c r="A117" s="6"/>
      <c r="B117" s="6"/>
      <c r="C117" s="49"/>
      <c r="D117" s="49"/>
      <c r="E117" s="49"/>
      <c r="F117" s="6"/>
      <c r="G117" s="6"/>
    </row>
    <row r="118" spans="1:8" ht="21.75" customHeight="1" x14ac:dyDescent="0.4">
      <c r="A118" s="6"/>
      <c r="B118" s="6"/>
      <c r="C118" s="49"/>
      <c r="D118" s="49"/>
      <c r="E118" s="49"/>
      <c r="F118" s="6"/>
      <c r="G118" s="6"/>
    </row>
    <row r="119" spans="1:8" ht="21.75" customHeight="1" x14ac:dyDescent="0.4">
      <c r="A119" s="6"/>
      <c r="B119" s="6"/>
      <c r="C119" s="6"/>
      <c r="D119" s="6"/>
      <c r="E119" s="6"/>
      <c r="F119" s="6"/>
      <c r="G119" s="6"/>
    </row>
    <row r="120" spans="1:8" ht="21.75" customHeight="1" x14ac:dyDescent="0.4">
      <c r="A120" s="6"/>
      <c r="B120" s="6"/>
      <c r="C120" s="41"/>
      <c r="D120" s="41"/>
      <c r="E120" s="41"/>
      <c r="F120" s="6"/>
      <c r="G120" s="6"/>
    </row>
    <row r="121" spans="1:8" ht="21.75" customHeight="1" x14ac:dyDescent="0.4">
      <c r="A121" s="6"/>
      <c r="B121" s="6"/>
      <c r="C121" s="6"/>
      <c r="D121" s="6"/>
      <c r="E121" s="6"/>
      <c r="F121" s="6"/>
      <c r="G121" s="6"/>
    </row>
    <row r="122" spans="1:8" ht="21.75" customHeight="1" x14ac:dyDescent="0.4">
      <c r="A122" s="6"/>
      <c r="B122" s="6"/>
      <c r="C122" s="6"/>
      <c r="D122" s="6"/>
      <c r="E122" s="6"/>
      <c r="F122" s="6"/>
      <c r="G122" s="6"/>
    </row>
  </sheetData>
  <mergeCells count="2">
    <mergeCell ref="B83:E83"/>
    <mergeCell ref="N30:O30"/>
  </mergeCells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2019 Final</vt:lpstr>
      <vt:lpstr>Worksheet</vt:lpstr>
      <vt:lpstr>Hatchery-Wild Breakdown</vt:lpstr>
      <vt:lpstr>'2019 Final'!Print_Area</vt:lpstr>
      <vt:lpstr>Worksheet!Print_Area</vt:lpstr>
    </vt:vector>
  </TitlesOfParts>
  <Company>Oregon Department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Vandernaald</dc:creator>
  <cp:lastModifiedBy>Adam J Storch</cp:lastModifiedBy>
  <cp:lastPrinted>2019-11-20T18:38:43Z</cp:lastPrinted>
  <dcterms:created xsi:type="dcterms:W3CDTF">2015-07-22T20:59:04Z</dcterms:created>
  <dcterms:modified xsi:type="dcterms:W3CDTF">2020-12-09T21:30:03Z</dcterms:modified>
</cp:coreProperties>
</file>