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2022 Forecast\Data\"/>
    </mc:Choice>
  </mc:AlternateContent>
  <xr:revisionPtr revIDLastSave="0" documentId="13_ncr:1_{D413B530-8682-489C-ABC8-25EE37D33143}" xr6:coauthVersionLast="47" xr6:coauthVersionMax="47" xr10:uidLastSave="{00000000-0000-0000-0000-000000000000}"/>
  <bookViews>
    <workbookView xWindow="-23148" yWindow="1188" windowWidth="23256" windowHeight="14616" activeTab="2" xr2:uid="{00000000-000D-0000-FFFF-FFFF00000000}"/>
  </bookViews>
  <sheets>
    <sheet name="2021 Final" sheetId="1" r:id="rId1"/>
    <sheet name="Worksheet" sheetId="2" r:id="rId2"/>
    <sheet name="Hatchery-Wild Breakdown" sheetId="3" r:id="rId3"/>
  </sheets>
  <definedNames>
    <definedName name="_xlnm.Print_Area" localSheetId="0">'2021 Final'!$A$1:$G$44</definedName>
    <definedName name="_xlnm.Print_Area" localSheetId="1">Worksheet!$A$1:$I$44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T48" i="3"/>
  <c r="O28" i="3"/>
  <c r="F27" i="3"/>
  <c r="H27" i="3"/>
  <c r="G27" i="3"/>
  <c r="J27" i="3" s="1"/>
  <c r="O27" i="3"/>
  <c r="H24" i="3" l="1"/>
  <c r="K24" i="3"/>
  <c r="B27" i="2" l="1"/>
  <c r="F12" i="2" l="1"/>
  <c r="B12" i="2" s="1"/>
  <c r="C11" i="2"/>
  <c r="B11" i="2"/>
  <c r="D11" i="2"/>
  <c r="E11" i="2"/>
  <c r="F53" i="2"/>
  <c r="E12" i="2" l="1"/>
  <c r="D12" i="2"/>
  <c r="C12" i="2"/>
  <c r="I12" i="2" l="1"/>
  <c r="G12" i="2"/>
  <c r="H12" i="2" s="1"/>
  <c r="F10" i="2" l="1"/>
  <c r="E10" i="2" l="1"/>
  <c r="D10" i="2"/>
  <c r="B10" i="2"/>
  <c r="C10" i="2"/>
  <c r="F38" i="2" l="1"/>
  <c r="E6" i="2"/>
  <c r="D6" i="2"/>
  <c r="C6" i="2"/>
  <c r="H19" i="3" l="1"/>
  <c r="G19" i="3"/>
  <c r="G10" i="2" l="1"/>
  <c r="H10" i="2" s="1"/>
  <c r="B21" i="2" l="1"/>
  <c r="F62" i="2"/>
  <c r="F59" i="2"/>
  <c r="F58" i="2"/>
  <c r="D24" i="2" l="1"/>
  <c r="D24" i="3" s="1"/>
  <c r="F19" i="2" l="1"/>
  <c r="C19" i="2" l="1"/>
  <c r="D19" i="2"/>
  <c r="E19" i="2"/>
  <c r="C60" i="1"/>
  <c r="D60" i="1"/>
  <c r="E60" i="1"/>
  <c r="C8" i="2" l="1"/>
  <c r="D8" i="2"/>
  <c r="E8" i="2"/>
  <c r="E7" i="2"/>
  <c r="D7" i="2"/>
  <c r="C7" i="2"/>
  <c r="B7" i="2"/>
  <c r="B8" i="2"/>
  <c r="G8" i="2" s="1"/>
  <c r="H8" i="2" s="1"/>
  <c r="G7" i="2" l="1"/>
  <c r="H7" i="2" s="1"/>
  <c r="E20" i="2"/>
  <c r="E21" i="2"/>
  <c r="E22" i="2"/>
  <c r="E23" i="2"/>
  <c r="E24" i="2"/>
  <c r="E24" i="3" s="1"/>
  <c r="E25" i="2"/>
  <c r="E26" i="2"/>
  <c r="E27" i="2"/>
  <c r="D20" i="2"/>
  <c r="D21" i="2"/>
  <c r="D22" i="2"/>
  <c r="D23" i="2"/>
  <c r="D25" i="2"/>
  <c r="D26" i="2"/>
  <c r="D27" i="2"/>
  <c r="C21" i="2"/>
  <c r="C22" i="2"/>
  <c r="C23" i="2"/>
  <c r="C24" i="2"/>
  <c r="C24" i="3" s="1"/>
  <c r="C25" i="2"/>
  <c r="C26" i="2"/>
  <c r="C27" i="2"/>
  <c r="C20" i="2"/>
  <c r="B20" i="2"/>
  <c r="B22" i="2"/>
  <c r="B23" i="2"/>
  <c r="B24" i="2"/>
  <c r="B24" i="3" s="1"/>
  <c r="B25" i="2"/>
  <c r="B26" i="2"/>
  <c r="C9" i="2"/>
  <c r="D9" i="2"/>
  <c r="E9" i="2"/>
  <c r="B6" i="2"/>
  <c r="G6" i="2" s="1"/>
  <c r="B9" i="2"/>
  <c r="C13" i="2"/>
  <c r="D13" i="2"/>
  <c r="E13" i="2"/>
  <c r="D38" i="2" l="1"/>
  <c r="C38" i="2"/>
  <c r="F56" i="2"/>
  <c r="F54" i="2"/>
  <c r="C23" i="1" l="1"/>
  <c r="F22" i="1" l="1"/>
  <c r="F23" i="1"/>
  <c r="E38" i="2" l="1"/>
  <c r="B38" i="2"/>
  <c r="B6" i="1" l="1"/>
  <c r="C6" i="1"/>
  <c r="D6" i="1"/>
  <c r="E6" i="1"/>
  <c r="B7" i="1"/>
  <c r="C7" i="1"/>
  <c r="D7" i="1"/>
  <c r="B8" i="1"/>
  <c r="C8" i="1"/>
  <c r="D8" i="1"/>
  <c r="F13" i="3" l="1"/>
  <c r="H13" i="3" l="1"/>
  <c r="G13" i="3"/>
  <c r="E23" i="1"/>
  <c r="E22" i="1"/>
  <c r="E13" i="3"/>
  <c r="E8" i="1"/>
  <c r="E7" i="1"/>
  <c r="D23" i="1"/>
  <c r="D22" i="1"/>
  <c r="D13" i="3"/>
  <c r="C22" i="1"/>
  <c r="B23" i="1"/>
  <c r="G23" i="1" s="1"/>
  <c r="B22" i="1"/>
  <c r="G22" i="1" s="1"/>
  <c r="B13" i="2"/>
  <c r="B13" i="3" s="1"/>
  <c r="I13" i="3" s="1"/>
  <c r="C13" i="3"/>
  <c r="J13" i="3" l="1"/>
  <c r="K13" i="3"/>
  <c r="F63" i="2"/>
  <c r="E55" i="1"/>
  <c r="E56" i="1"/>
  <c r="E57" i="1"/>
  <c r="E58" i="1"/>
  <c r="E59" i="1"/>
  <c r="E61" i="1"/>
  <c r="E62" i="1"/>
  <c r="E63" i="1"/>
  <c r="E64" i="1"/>
  <c r="D55" i="1"/>
  <c r="D56" i="1"/>
  <c r="D57" i="1"/>
  <c r="D58" i="1"/>
  <c r="D59" i="1"/>
  <c r="D61" i="1"/>
  <c r="D62" i="1"/>
  <c r="D63" i="1"/>
  <c r="D64" i="1"/>
  <c r="C55" i="1"/>
  <c r="C56" i="1"/>
  <c r="C57" i="1"/>
  <c r="C58" i="1"/>
  <c r="C59" i="1"/>
  <c r="C61" i="1"/>
  <c r="C62" i="1"/>
  <c r="C63" i="1"/>
  <c r="C64" i="1"/>
  <c r="B55" i="1"/>
  <c r="B56" i="1"/>
  <c r="B57" i="1"/>
  <c r="B58" i="1"/>
  <c r="B59" i="1"/>
  <c r="B60" i="1"/>
  <c r="B61" i="1"/>
  <c r="B62" i="1"/>
  <c r="B63" i="1"/>
  <c r="B64" i="1"/>
  <c r="F13" i="1"/>
  <c r="B52" i="1"/>
  <c r="F55" i="1" l="1"/>
  <c r="G25" i="2"/>
  <c r="E13" i="1" l="1"/>
  <c r="B13" i="1" l="1"/>
  <c r="G13" i="1" s="1"/>
  <c r="C13" i="1"/>
  <c r="E54" i="1" l="1"/>
  <c r="E53" i="1"/>
  <c r="E52" i="1"/>
  <c r="E51" i="1"/>
  <c r="E50" i="1"/>
  <c r="E49" i="1"/>
  <c r="E48" i="1"/>
  <c r="D54" i="1"/>
  <c r="D53" i="1"/>
  <c r="D52" i="1"/>
  <c r="D51" i="1"/>
  <c r="D50" i="1"/>
  <c r="D49" i="1"/>
  <c r="D48" i="1"/>
  <c r="C54" i="1"/>
  <c r="C53" i="1"/>
  <c r="C52" i="1"/>
  <c r="C51" i="1"/>
  <c r="C50" i="1"/>
  <c r="C49" i="1"/>
  <c r="C48" i="1"/>
  <c r="B54" i="1"/>
  <c r="B53" i="1"/>
  <c r="B51" i="1"/>
  <c r="B50" i="1"/>
  <c r="B49" i="1"/>
  <c r="B48" i="1"/>
  <c r="F47" i="2"/>
  <c r="F48" i="2"/>
  <c r="F49" i="2"/>
  <c r="F50" i="2"/>
  <c r="F51" i="2"/>
  <c r="F52" i="2"/>
  <c r="F55" i="2"/>
  <c r="F57" i="2"/>
  <c r="F60" i="2"/>
  <c r="F61" i="2"/>
  <c r="F54" i="1" l="1"/>
  <c r="F50" i="1"/>
  <c r="F49" i="1"/>
  <c r="F48" i="1"/>
  <c r="F22" i="3"/>
  <c r="F21" i="3"/>
  <c r="G21" i="3" s="1"/>
  <c r="G22" i="3" l="1"/>
  <c r="F7" i="3"/>
  <c r="G7" i="3" l="1"/>
  <c r="F6" i="3" l="1"/>
  <c r="F8" i="3"/>
  <c r="H8" i="3" s="1"/>
  <c r="M7" i="3" l="1"/>
  <c r="G6" i="3"/>
  <c r="J6" i="3" s="1"/>
  <c r="F64" i="1"/>
  <c r="F63" i="1"/>
  <c r="F62" i="1"/>
  <c r="F61" i="1"/>
  <c r="F60" i="1"/>
  <c r="F59" i="1"/>
  <c r="F58" i="1"/>
  <c r="F57" i="1"/>
  <c r="F56" i="1"/>
  <c r="F53" i="1"/>
  <c r="F52" i="1"/>
  <c r="F51" i="1"/>
  <c r="H6" i="3" l="1"/>
  <c r="K6" i="3" s="1"/>
  <c r="G21" i="2"/>
  <c r="K27" i="3" l="1"/>
  <c r="E20" i="3"/>
  <c r="A1" i="1"/>
  <c r="A1" i="3" s="1"/>
  <c r="F26" i="3" l="1"/>
  <c r="F25" i="3"/>
  <c r="F24" i="3"/>
  <c r="F23" i="3"/>
  <c r="F20" i="3"/>
  <c r="E20" i="1"/>
  <c r="F20" i="1"/>
  <c r="F21" i="1"/>
  <c r="F24" i="1"/>
  <c r="F25" i="1"/>
  <c r="F26" i="1"/>
  <c r="F27" i="1"/>
  <c r="F12" i="3"/>
  <c r="H12" i="3" s="1"/>
  <c r="F11" i="3"/>
  <c r="G11" i="3" s="1"/>
  <c r="F10" i="3"/>
  <c r="B7" i="3"/>
  <c r="I7" i="3" s="1"/>
  <c r="J7" i="3" s="1"/>
  <c r="I24" i="3" l="1"/>
  <c r="G25" i="3"/>
  <c r="F38" i="3"/>
  <c r="F6" i="1" l="1"/>
  <c r="F7" i="1"/>
  <c r="F8" i="1"/>
  <c r="F10" i="1"/>
  <c r="F11" i="1"/>
  <c r="F12" i="1"/>
  <c r="F38" i="1" l="1"/>
  <c r="G23" i="3"/>
  <c r="S21" i="3"/>
  <c r="H10" i="3"/>
  <c r="I24" i="2"/>
  <c r="G23" i="2"/>
  <c r="H21" i="2"/>
  <c r="G7" i="1"/>
  <c r="H15" i="3" l="1"/>
  <c r="I26" i="2"/>
  <c r="G22" i="2"/>
  <c r="I22" i="2"/>
  <c r="C29" i="2"/>
  <c r="B39" i="2"/>
  <c r="E25" i="3"/>
  <c r="E25" i="1"/>
  <c r="B24" i="1"/>
  <c r="G24" i="1" s="1"/>
  <c r="B20" i="3"/>
  <c r="I20" i="3" s="1"/>
  <c r="B20" i="1"/>
  <c r="G20" i="1" s="1"/>
  <c r="D27" i="1"/>
  <c r="D27" i="3"/>
  <c r="E22" i="3"/>
  <c r="D20" i="1"/>
  <c r="D20" i="3"/>
  <c r="B23" i="3"/>
  <c r="I23" i="3" s="1"/>
  <c r="J23" i="3" s="1"/>
  <c r="B25" i="1"/>
  <c r="G25" i="1" s="1"/>
  <c r="B25" i="3"/>
  <c r="I25" i="3" s="1"/>
  <c r="J25" i="3" s="1"/>
  <c r="E26" i="1"/>
  <c r="E26" i="3"/>
  <c r="E21" i="1"/>
  <c r="E21" i="3"/>
  <c r="C27" i="3"/>
  <c r="C27" i="1"/>
  <c r="B22" i="3"/>
  <c r="B11" i="1"/>
  <c r="G11" i="1" s="1"/>
  <c r="B11" i="3"/>
  <c r="I11" i="3" s="1"/>
  <c r="J11" i="3" s="1"/>
  <c r="C24" i="1"/>
  <c r="C19" i="3"/>
  <c r="C19" i="1"/>
  <c r="D24" i="1"/>
  <c r="E24" i="1"/>
  <c r="B12" i="1"/>
  <c r="G12" i="1" s="1"/>
  <c r="B12" i="3"/>
  <c r="I12" i="3" s="1"/>
  <c r="K12" i="3" s="1"/>
  <c r="B21" i="1"/>
  <c r="G21" i="1" s="1"/>
  <c r="B21" i="3"/>
  <c r="I21" i="3" s="1"/>
  <c r="C23" i="3"/>
  <c r="C25" i="1"/>
  <c r="C25" i="3"/>
  <c r="D26" i="3"/>
  <c r="D26" i="1"/>
  <c r="B26" i="3"/>
  <c r="I26" i="3" s="1"/>
  <c r="B26" i="1"/>
  <c r="G26" i="1" s="1"/>
  <c r="C22" i="3"/>
  <c r="B27" i="3"/>
  <c r="I27" i="3" s="1"/>
  <c r="B27" i="1"/>
  <c r="G27" i="1" s="1"/>
  <c r="D22" i="3"/>
  <c r="C20" i="1"/>
  <c r="C20" i="3"/>
  <c r="E27" i="1"/>
  <c r="E27" i="3"/>
  <c r="B10" i="1"/>
  <c r="G10" i="1" s="1"/>
  <c r="B10" i="3"/>
  <c r="I10" i="3" s="1"/>
  <c r="K10" i="3" s="1"/>
  <c r="C21" i="1"/>
  <c r="C21" i="3"/>
  <c r="D23" i="3"/>
  <c r="D25" i="3"/>
  <c r="D25" i="1"/>
  <c r="B8" i="3"/>
  <c r="C26" i="3"/>
  <c r="C26" i="1"/>
  <c r="B6" i="3"/>
  <c r="I6" i="3" s="1"/>
  <c r="G8" i="1"/>
  <c r="I27" i="2"/>
  <c r="G24" i="2"/>
  <c r="H24" i="2" s="1"/>
  <c r="G26" i="2"/>
  <c r="G27" i="2"/>
  <c r="I25" i="2"/>
  <c r="R21" i="3"/>
  <c r="T21" i="3" s="1"/>
  <c r="I20" i="2"/>
  <c r="G20" i="2"/>
  <c r="I22" i="3" l="1"/>
  <c r="J22" i="3" s="1"/>
  <c r="J38" i="3" s="1"/>
  <c r="I8" i="3"/>
  <c r="K8" i="3" s="1"/>
  <c r="K15" i="3" s="1"/>
  <c r="B38" i="3"/>
  <c r="B39" i="3" s="1"/>
  <c r="G6" i="1"/>
  <c r="G26" i="3"/>
  <c r="G38" i="3" s="1"/>
  <c r="B38" i="1"/>
  <c r="C29" i="1"/>
  <c r="C29" i="3"/>
  <c r="H25" i="2"/>
  <c r="H22" i="2"/>
  <c r="H26" i="2"/>
  <c r="H27" i="2"/>
  <c r="H20" i="2"/>
  <c r="I38" i="3" l="1"/>
  <c r="J39" i="3" s="1"/>
  <c r="H26" i="3"/>
  <c r="H38" i="3" s="1"/>
  <c r="K26" i="3"/>
  <c r="K38" i="3" s="1"/>
  <c r="B39" i="1"/>
  <c r="G38" i="1"/>
  <c r="K39" i="3" l="1"/>
  <c r="G39" i="3"/>
  <c r="E8" i="3"/>
  <c r="C8" i="3"/>
  <c r="E7" i="3"/>
  <c r="C12" i="1"/>
  <c r="C12" i="3"/>
  <c r="C10" i="1"/>
  <c r="C10" i="3"/>
  <c r="C6" i="3"/>
  <c r="E12" i="3"/>
  <c r="E12" i="1"/>
  <c r="C7" i="3"/>
  <c r="E10" i="3"/>
  <c r="E10" i="1"/>
  <c r="E6" i="3"/>
  <c r="C11" i="1"/>
  <c r="C11" i="3"/>
  <c r="E11" i="3"/>
  <c r="E11" i="1"/>
  <c r="C38" i="3" l="1"/>
  <c r="C39" i="3" s="1"/>
  <c r="C38" i="1"/>
  <c r="C39" i="1" s="1"/>
  <c r="C39" i="2"/>
  <c r="D21" i="1" l="1"/>
  <c r="D21" i="3"/>
  <c r="I21" i="2"/>
  <c r="H39" i="3" l="1"/>
  <c r="I23" i="2" l="1"/>
  <c r="E23" i="3"/>
  <c r="E38" i="3" l="1"/>
  <c r="E39" i="3" s="1"/>
  <c r="E38" i="1"/>
  <c r="E39" i="1" s="1"/>
  <c r="E39" i="2"/>
  <c r="H23" i="2"/>
  <c r="E15" i="2"/>
  <c r="C15" i="2"/>
  <c r="C9" i="3"/>
  <c r="F15" i="2"/>
  <c r="F9" i="1"/>
  <c r="F15" i="1" s="1"/>
  <c r="E9" i="3"/>
  <c r="E9" i="1"/>
  <c r="E15" i="1" s="1"/>
  <c r="F9" i="3"/>
  <c r="M9" i="3" s="1"/>
  <c r="F15" i="3" l="1"/>
  <c r="C15" i="3"/>
  <c r="C32" i="3" s="1"/>
  <c r="E15" i="3"/>
  <c r="C32" i="2"/>
  <c r="B9" i="1"/>
  <c r="B15" i="1" s="1"/>
  <c r="B9" i="3"/>
  <c r="I9" i="3" s="1"/>
  <c r="C9" i="1"/>
  <c r="C15" i="1" s="1"/>
  <c r="C32" i="1" s="1"/>
  <c r="G9" i="3"/>
  <c r="B15" i="2"/>
  <c r="J9" i="3" l="1"/>
  <c r="J15" i="3" s="1"/>
  <c r="I15" i="3"/>
  <c r="G9" i="1"/>
  <c r="C35" i="3"/>
  <c r="G15" i="3"/>
  <c r="B15" i="3"/>
  <c r="C35" i="1"/>
  <c r="C35" i="2"/>
  <c r="G15" i="1"/>
  <c r="D10" i="3" l="1"/>
  <c r="D10" i="1"/>
  <c r="I10" i="2"/>
  <c r="I11" i="2"/>
  <c r="D12" i="3"/>
  <c r="D12" i="1"/>
  <c r="I8" i="2"/>
  <c r="D8" i="3"/>
  <c r="D13" i="1"/>
  <c r="G13" i="2"/>
  <c r="H13" i="2" s="1"/>
  <c r="I13" i="2"/>
  <c r="D9" i="1"/>
  <c r="I9" i="2"/>
  <c r="G9" i="2"/>
  <c r="H9" i="2" s="1"/>
  <c r="D9" i="3"/>
  <c r="I7" i="2"/>
  <c r="D7" i="3"/>
  <c r="D11" i="3"/>
  <c r="I38" i="2"/>
  <c r="G11" i="2"/>
  <c r="H11" i="2" s="1"/>
  <c r="D11" i="1"/>
  <c r="I6" i="2"/>
  <c r="D15" i="2"/>
  <c r="G15" i="2" s="1"/>
  <c r="H15" i="2" s="1"/>
  <c r="H6" i="2"/>
  <c r="D6" i="3"/>
  <c r="G38" i="2" l="1"/>
  <c r="H38" i="2" s="1"/>
  <c r="D38" i="1"/>
  <c r="D39" i="1" s="1"/>
  <c r="D38" i="3"/>
  <c r="D39" i="3" s="1"/>
  <c r="D15" i="3"/>
  <c r="D39" i="2"/>
  <c r="L39" i="2" s="1"/>
  <c r="D15" i="1"/>
  <c r="I15" i="2"/>
  <c r="D19" i="3" l="1"/>
  <c r="D29" i="3" s="1"/>
  <c r="D32" i="3" s="1"/>
  <c r="F29" i="2"/>
  <c r="F32" i="2" s="1"/>
  <c r="C33" i="2" s="1"/>
  <c r="E29" i="2"/>
  <c r="E32" i="2" s="1"/>
  <c r="F19" i="1"/>
  <c r="F29" i="1" s="1"/>
  <c r="F19" i="3"/>
  <c r="B19" i="1"/>
  <c r="B29" i="1" s="1"/>
  <c r="B32" i="1" s="1"/>
  <c r="D29" i="2"/>
  <c r="O19" i="3" l="1"/>
  <c r="F29" i="3"/>
  <c r="F32" i="3" s="1"/>
  <c r="F35" i="3" s="1"/>
  <c r="C36" i="3" s="1"/>
  <c r="D35" i="3"/>
  <c r="E33" i="2"/>
  <c r="E35" i="2"/>
  <c r="D32" i="2"/>
  <c r="I29" i="2"/>
  <c r="G29" i="1"/>
  <c r="B35" i="1"/>
  <c r="I19" i="2"/>
  <c r="B19" i="3"/>
  <c r="B29" i="3" s="1"/>
  <c r="B32" i="3" s="1"/>
  <c r="O20" i="3"/>
  <c r="K20" i="3" s="1"/>
  <c r="K29" i="3" s="1"/>
  <c r="K32" i="3" s="1"/>
  <c r="F35" i="2"/>
  <c r="G19" i="1"/>
  <c r="G19" i="2"/>
  <c r="H19" i="2" s="1"/>
  <c r="D19" i="1"/>
  <c r="D29" i="1" s="1"/>
  <c r="D32" i="1" s="1"/>
  <c r="B29" i="2"/>
  <c r="E19" i="1"/>
  <c r="E29" i="1" s="1"/>
  <c r="E32" i="1" s="1"/>
  <c r="E19" i="3"/>
  <c r="E29" i="3" s="1"/>
  <c r="E32" i="3" s="1"/>
  <c r="D36" i="3" l="1"/>
  <c r="C33" i="3"/>
  <c r="D33" i="3"/>
  <c r="K35" i="3"/>
  <c r="I19" i="3"/>
  <c r="G20" i="3"/>
  <c r="J20" i="3"/>
  <c r="I32" i="2"/>
  <c r="D35" i="2"/>
  <c r="D33" i="2"/>
  <c r="C36" i="2"/>
  <c r="G29" i="2"/>
  <c r="H29" i="2" s="1"/>
  <c r="B32" i="2"/>
  <c r="D35" i="1"/>
  <c r="D33" i="1"/>
  <c r="E35" i="3"/>
  <c r="E36" i="3" s="1"/>
  <c r="E33" i="3"/>
  <c r="H20" i="3"/>
  <c r="G32" i="1"/>
  <c r="C33" i="1"/>
  <c r="F35" i="1"/>
  <c r="E36" i="2"/>
  <c r="E33" i="1"/>
  <c r="E35" i="1"/>
  <c r="B35" i="3"/>
  <c r="B36" i="3" s="1"/>
  <c r="B33" i="3"/>
  <c r="B33" i="1"/>
  <c r="E36" i="1" l="1"/>
  <c r="I29" i="3"/>
  <c r="I32" i="3" s="1"/>
  <c r="J29" i="3"/>
  <c r="J32" i="3" s="1"/>
  <c r="G42" i="3"/>
  <c r="G44" i="3" s="1"/>
  <c r="F42" i="1" s="1"/>
  <c r="G29" i="3"/>
  <c r="G32" i="3" s="1"/>
  <c r="H29" i="3"/>
  <c r="H32" i="3" s="1"/>
  <c r="H42" i="3"/>
  <c r="I35" i="2"/>
  <c r="D36" i="2"/>
  <c r="C36" i="1"/>
  <c r="G35" i="1"/>
  <c r="D36" i="1"/>
  <c r="B35" i="2"/>
  <c r="G32" i="2"/>
  <c r="H32" i="2" s="1"/>
  <c r="B33" i="2"/>
  <c r="L33" i="2" s="1"/>
  <c r="B36" i="1"/>
  <c r="F42" i="2" l="1"/>
  <c r="J35" i="3"/>
  <c r="J33" i="3"/>
  <c r="G35" i="3"/>
  <c r="G36" i="3" s="1"/>
  <c r="G33" i="3"/>
  <c r="I35" i="3"/>
  <c r="K36" i="3" s="1"/>
  <c r="K33" i="3"/>
  <c r="H44" i="3"/>
  <c r="F42" i="3"/>
  <c r="G43" i="3" s="1"/>
  <c r="B36" i="2"/>
  <c r="L36" i="2" s="1"/>
  <c r="G35" i="2"/>
  <c r="H35" i="2" s="1"/>
  <c r="H33" i="3"/>
  <c r="H35" i="3"/>
  <c r="H36" i="3" s="1"/>
  <c r="J36" i="3" l="1"/>
  <c r="H43" i="3"/>
  <c r="F43" i="2"/>
  <c r="F44" i="2" s="1"/>
  <c r="F43" i="1"/>
  <c r="F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Reagan</author>
  </authors>
  <commentList>
    <comment ref="C10" authorId="0" shapeId="0" xr:uid="{C9671962-ED23-488A-AF08-0D4E42C15F83}">
      <text>
        <r>
          <rPr>
            <b/>
            <sz val="9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Rounded down</t>
        </r>
      </text>
    </comment>
    <comment ref="C11" authorId="0" shapeId="0" xr:uid="{30A2C723-E169-44D6-ADBF-36C7FEFF58E8}">
      <text>
        <r>
          <rPr>
            <b/>
            <sz val="9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Rounded down</t>
        </r>
      </text>
    </comment>
    <comment ref="C19" authorId="0" shapeId="0" xr:uid="{9E4331E7-1053-4179-9496-A1FF062F1DEA}">
      <text>
        <r>
          <rPr>
            <b/>
            <sz val="9"/>
            <color indexed="81"/>
            <rFont val="Tahoma"/>
            <family val="2"/>
          </rPr>
          <t>Robert Reagan:</t>
        </r>
        <r>
          <rPr>
            <sz val="9"/>
            <color indexed="81"/>
            <rFont val="Tahoma"/>
            <family val="2"/>
          </rPr>
          <t xml:space="preserve">
Rounded 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Kevleen Melcher</author>
  </authors>
  <commentList>
    <comment ref="T33" authorId="0" shapeId="0" xr:uid="{7D12A9D6-7C82-465A-93BA-C6128331F1C3}">
      <text>
        <r>
          <rPr>
            <b/>
            <sz val="9"/>
            <color indexed="81"/>
            <rFont val="Tahoma"/>
            <family val="2"/>
          </rPr>
          <t>Kevleen Melcher:</t>
        </r>
        <r>
          <rPr>
            <sz val="9"/>
            <color indexed="81"/>
            <rFont val="Tahoma"/>
            <family val="2"/>
          </rPr>
          <t xml:space="preserve">
from Final Big Sheets</t>
        </r>
      </text>
    </comment>
  </commentList>
</comments>
</file>

<file path=xl/sharedStrings.xml><?xml version="1.0" encoding="utf-8"?>
<sst xmlns="http://schemas.openxmlformats.org/spreadsheetml/2006/main" count="216" uniqueCount="117">
  <si>
    <t>Brood</t>
  </si>
  <si>
    <t>Catch</t>
  </si>
  <si>
    <t>Age 3</t>
  </si>
  <si>
    <t>Age 4</t>
  </si>
  <si>
    <t>Age 5</t>
  </si>
  <si>
    <t>Age 6</t>
  </si>
  <si>
    <t>Total</t>
  </si>
  <si>
    <t>SAF Commercial</t>
  </si>
  <si>
    <t>LCR Sport (kept catch)</t>
  </si>
  <si>
    <t>LCR Sport (release mortality)</t>
  </si>
  <si>
    <t>L. Will. Sport Fishery kept catch</t>
  </si>
  <si>
    <t>Lower Clackamas Sport (kept catch)</t>
  </si>
  <si>
    <t>Totals</t>
  </si>
  <si>
    <t xml:space="preserve"> </t>
  </si>
  <si>
    <t>Escapement</t>
  </si>
  <si>
    <t>Mortality Below Falls</t>
  </si>
  <si>
    <t>Natural Spawn Bel. N.F. Dam</t>
  </si>
  <si>
    <t>Run Entering Columbia</t>
  </si>
  <si>
    <t xml:space="preserve">      Percent</t>
  </si>
  <si>
    <t>Run Entering Willamette</t>
  </si>
  <si>
    <t>Run Entering Clackamas</t>
  </si>
  <si>
    <t xml:space="preserve">Clackamas fish run entering Willamette River. </t>
  </si>
  <si>
    <t>Age Comp Percentages</t>
  </si>
  <si>
    <t>LCR Sport (rel. mortality)</t>
  </si>
  <si>
    <t>Sum of D:G</t>
  </si>
  <si>
    <t>H - I</t>
  </si>
  <si>
    <t>Adults</t>
  </si>
  <si>
    <t>per final Will. Sport C and E summary</t>
  </si>
  <si>
    <t>Eagle Creek Hatchery Return</t>
  </si>
  <si>
    <t>North Fork Dam, Recycled Downstream</t>
  </si>
  <si>
    <t>L. Will. Sport Fishery release mortality</t>
  </si>
  <si>
    <t>Lower Clackamas Sport (rel. mortality)</t>
  </si>
  <si>
    <t>Willamette Falls Count</t>
  </si>
  <si>
    <t>Clackamas Hatchery swim-ins</t>
  </si>
  <si>
    <t>Clackamas Hatchery transfers from N.F. Dam</t>
  </si>
  <si>
    <t>North Fork Dam, Passed Upstream</t>
  </si>
  <si>
    <t>Sea Lion Predation</t>
  </si>
  <si>
    <t>L. Will. Sport (rel. mortality)</t>
  </si>
  <si>
    <t xml:space="preserve">Lower Clackamas Sport (kept catch) </t>
  </si>
  <si>
    <t xml:space="preserve">Lower Clackamas Sport (rel. mortality) </t>
  </si>
  <si>
    <t xml:space="preserve">Willamette Falls Count </t>
  </si>
  <si>
    <t xml:space="preserve">Mortality Below Falls </t>
  </si>
  <si>
    <t xml:space="preserve">Eagle Creek Hatchery Return </t>
  </si>
  <si>
    <t xml:space="preserve">North Fork Dam, Passed Upstream </t>
  </si>
  <si>
    <t xml:space="preserve">Natural Spawn Bel. N.F. Dam </t>
  </si>
  <si>
    <t xml:space="preserve">Sea Lion Predation </t>
  </si>
  <si>
    <t>per Garth Wyatt, PGE</t>
  </si>
  <si>
    <t>Hatchery</t>
  </si>
  <si>
    <t>Wild</t>
  </si>
  <si>
    <t>falls unclipped rate</t>
  </si>
  <si>
    <t>falls clip rate</t>
  </si>
  <si>
    <t>Columbia R. Select Area Commercial</t>
  </si>
  <si>
    <t>from Kelly Dirksen (CTGR)</t>
  </si>
  <si>
    <t>per final Will. Sport C and E summary (released x 0.122)</t>
  </si>
  <si>
    <t>Age comp adjusted using actual number of jacks counted at the dam.</t>
  </si>
  <si>
    <t>Grand Ronde Will. Falls platform kept catch</t>
  </si>
  <si>
    <t>Age comp adjusted using actual number of jacks counted at the falls.</t>
  </si>
  <si>
    <t>L. Will. Sport Fishery (kept catch)</t>
  </si>
  <si>
    <t>L. Will. Sport Fishery (release mortality)</t>
  </si>
  <si>
    <t>Grand Ronde Will. Falls platform (kept catch)</t>
  </si>
  <si>
    <t>MK</t>
  </si>
  <si>
    <t>No MK</t>
  </si>
  <si>
    <t>% MK</t>
  </si>
  <si>
    <t>Clack clip rate w/out natural spawn</t>
  </si>
  <si>
    <t>Clackamas hatchery (harvest) and wild (rel. mortality) in the Willamette R.</t>
  </si>
  <si>
    <t>Estimated harvest of Clackamas fish in the lower Willamette River recreational fishery.</t>
  </si>
  <si>
    <t>Estimated release mortality of Clackamas fish in the lower Willamette River recreational fishery.</t>
  </si>
  <si>
    <t>Estimated Clackamas origin escapement to the mouth of the Willamette River</t>
  </si>
  <si>
    <r>
      <t>Eagle Creek Hatchery Return</t>
    </r>
    <r>
      <rPr>
        <vertAlign val="superscript"/>
        <sz val="10"/>
        <rFont val="Calibri"/>
        <family val="2"/>
        <scheme val="minor"/>
      </rPr>
      <t>6</t>
    </r>
  </si>
  <si>
    <r>
      <t>Sea Lion Predation</t>
    </r>
    <r>
      <rPr>
        <vertAlign val="superscript"/>
        <sz val="10"/>
        <rFont val="Calibri"/>
        <family val="2"/>
        <scheme val="minor"/>
      </rPr>
      <t>3</t>
    </r>
  </si>
  <si>
    <r>
      <t>LCR Sport (kept catch)</t>
    </r>
    <r>
      <rPr>
        <vertAlign val="superscript"/>
        <sz val="10"/>
        <rFont val="Calibri"/>
        <family val="2"/>
        <scheme val="minor"/>
      </rPr>
      <t xml:space="preserve"> 4</t>
    </r>
  </si>
  <si>
    <r>
      <t xml:space="preserve">LCR Sport (rel. mortality) </t>
    </r>
    <r>
      <rPr>
        <vertAlign val="superscript"/>
        <sz val="10"/>
        <rFont val="Calibri"/>
        <family val="2"/>
        <scheme val="minor"/>
      </rPr>
      <t>4</t>
    </r>
  </si>
  <si>
    <r>
      <t xml:space="preserve">L. Will. Sport Fishery (kept catch) </t>
    </r>
    <r>
      <rPr>
        <vertAlign val="superscript"/>
        <sz val="10"/>
        <rFont val="Calibri"/>
        <family val="2"/>
        <scheme val="minor"/>
      </rPr>
      <t>5</t>
    </r>
  </si>
  <si>
    <r>
      <t xml:space="preserve">L. Will. Sport (rel. mortality) </t>
    </r>
    <r>
      <rPr>
        <vertAlign val="superscript"/>
        <sz val="10"/>
        <rFont val="Calibri"/>
        <family val="2"/>
        <scheme val="minor"/>
      </rPr>
      <t>1,5</t>
    </r>
  </si>
  <si>
    <r>
      <t xml:space="preserve">Willamette Falls Count </t>
    </r>
    <r>
      <rPr>
        <vertAlign val="superscript"/>
        <sz val="10"/>
        <rFont val="Calibri"/>
        <family val="2"/>
        <scheme val="minor"/>
      </rPr>
      <t>5</t>
    </r>
  </si>
  <si>
    <r>
      <t xml:space="preserve">Mortality Below Falls </t>
    </r>
    <r>
      <rPr>
        <vertAlign val="superscript"/>
        <sz val="10"/>
        <rFont val="Calibri"/>
        <family val="2"/>
        <scheme val="minor"/>
      </rPr>
      <t>2,5</t>
    </r>
  </si>
  <si>
    <r>
      <t xml:space="preserve">North Fork Dam, Passed Upstream </t>
    </r>
    <r>
      <rPr>
        <vertAlign val="superscript"/>
        <sz val="10"/>
        <rFont val="Calibri"/>
        <family val="2"/>
        <scheme val="minor"/>
      </rPr>
      <t>7</t>
    </r>
  </si>
  <si>
    <r>
      <t>North Fork Dam, Recycled Downstream</t>
    </r>
    <r>
      <rPr>
        <vertAlign val="superscript"/>
        <sz val="10"/>
        <rFont val="Calibri"/>
        <family val="2"/>
        <scheme val="minor"/>
      </rPr>
      <t xml:space="preserve"> 7</t>
    </r>
  </si>
  <si>
    <r>
      <t xml:space="preserve">Natural Spawn Bel. N.F. Dam </t>
    </r>
    <r>
      <rPr>
        <vertAlign val="superscript"/>
        <sz val="10"/>
        <rFont val="Calibri"/>
        <family val="2"/>
        <scheme val="minor"/>
      </rPr>
      <t>7</t>
    </r>
  </si>
  <si>
    <r>
      <t>1</t>
    </r>
    <r>
      <rPr>
        <sz val="10"/>
        <rFont val="Calibri"/>
        <family val="2"/>
        <scheme val="minor"/>
      </rPr>
      <t xml:space="preserve">  Release mortality rate from Lindsey et. al. (12.2% of released fish).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</si>
  <si>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Willamette River carcass surveys.</t>
    </r>
  </si>
  <si>
    <r>
      <t xml:space="preserve">4  </t>
    </r>
    <r>
      <rPr>
        <sz val="10"/>
        <rFont val="Calibri"/>
        <family val="2"/>
        <scheme val="minor"/>
      </rPr>
      <t>Age composition based on scale analysis of Columbia River sport catch.</t>
    </r>
  </si>
  <si>
    <r>
      <t xml:space="preserve">6 </t>
    </r>
    <r>
      <rPr>
        <sz val="10"/>
        <rFont val="Calibri"/>
        <family val="2"/>
        <scheme val="minor"/>
      </rPr>
      <t xml:space="preserve"> Age composition based on scale analysis of Clackamas Hatchery returns. </t>
    </r>
  </si>
  <si>
    <r>
      <t xml:space="preserve">Lower Clackamas Sport (rel. mortality) </t>
    </r>
    <r>
      <rPr>
        <vertAlign val="superscript"/>
        <sz val="10"/>
        <rFont val="Calibri"/>
        <family val="2"/>
        <scheme val="minor"/>
      </rPr>
      <t>1,7</t>
    </r>
  </si>
  <si>
    <r>
      <t xml:space="preserve">Lower Clackamas Sport (kept catch) </t>
    </r>
    <r>
      <rPr>
        <vertAlign val="superscript"/>
        <sz val="10"/>
        <rFont val="Calibri"/>
        <family val="2"/>
        <scheme val="minor"/>
      </rPr>
      <t>7</t>
    </r>
  </si>
  <si>
    <r>
      <rPr>
        <vertAlign val="super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 xml:space="preserve"> Eagle Creek returns were captured using seines (no hatachery returns)</t>
    </r>
  </si>
  <si>
    <r>
      <t xml:space="preserve">Sea Lion Predation </t>
    </r>
    <r>
      <rPr>
        <vertAlign val="superscript"/>
        <sz val="10"/>
        <rFont val="Calibri"/>
        <family val="2"/>
        <scheme val="minor"/>
      </rPr>
      <t>3,5</t>
    </r>
  </si>
  <si>
    <r>
      <t xml:space="preserve">7 </t>
    </r>
    <r>
      <rPr>
        <sz val="10"/>
        <rFont val="Calibri"/>
        <family val="2"/>
        <scheme val="minor"/>
      </rPr>
      <t xml:space="preserve"> Age composition based on scale analysis of combined returns of hatchery ChS to Clackamas Hatchery, Eagle Creek Hatchery, and transfers from N.F. Dam. </t>
    </r>
  </si>
  <si>
    <t>Adult H</t>
  </si>
  <si>
    <t>Adult W</t>
  </si>
  <si>
    <t>2021 Monthly sheet</t>
  </si>
  <si>
    <t xml:space="preserve">See 1972-2021 Mortality below falls.xlsx </t>
  </si>
  <si>
    <r>
      <t>Clackamas Hatchery transfers from N.F. Dam</t>
    </r>
    <r>
      <rPr>
        <vertAlign val="superscript"/>
        <sz val="10"/>
        <rFont val="Calibri"/>
        <family val="2"/>
      </rPr>
      <t xml:space="preserve"> </t>
    </r>
  </si>
  <si>
    <r>
      <t>North Fork Dam, Recycled Downstream</t>
    </r>
    <r>
      <rPr>
        <vertAlign val="superscript"/>
        <sz val="10"/>
        <rFont val="Calibri"/>
        <family val="2"/>
      </rPr>
      <t xml:space="preserve"> </t>
    </r>
  </si>
  <si>
    <r>
      <t xml:space="preserve">3  </t>
    </r>
    <r>
      <rPr>
        <sz val="10"/>
        <rFont val="Calibri"/>
        <family val="2"/>
        <scheme val="minor"/>
      </rPr>
      <t>Estimate based 2021 sea lion predation study.</t>
    </r>
  </si>
  <si>
    <t>No tribal catch in 2021</t>
  </si>
  <si>
    <r>
      <t>Clackamas Hatchery swim-ins</t>
    </r>
    <r>
      <rPr>
        <vertAlign val="superscript"/>
        <sz val="10"/>
        <rFont val="Calibri"/>
        <family val="2"/>
        <scheme val="minor"/>
      </rPr>
      <t>7</t>
    </r>
  </si>
  <si>
    <r>
      <t>Clackamas Hatchery transfers from N.F. Dam</t>
    </r>
    <r>
      <rPr>
        <vertAlign val="superscript"/>
        <sz val="10"/>
        <rFont val="Calibri"/>
        <family val="2"/>
        <scheme val="minor"/>
      </rPr>
      <t xml:space="preserve"> 7</t>
    </r>
  </si>
  <si>
    <r>
      <t xml:space="preserve">Eagle Creek Returns </t>
    </r>
    <r>
      <rPr>
        <vertAlign val="superscript"/>
        <sz val="10"/>
        <rFont val="Calibri"/>
        <family val="2"/>
        <scheme val="minor"/>
      </rPr>
      <t>7,8</t>
    </r>
  </si>
  <si>
    <t>Age comp adjusted using actual number of jacks.</t>
  </si>
  <si>
    <t>see "2021 Monthly Sheet.xls" and "Running Wfalls 1990-Present with Clip Unclip.xls" in 2021 Big Sheet Data Sources</t>
  </si>
  <si>
    <t xml:space="preserve">see Report AART007 </t>
  </si>
  <si>
    <t>per Garth Wyatt, PGE (see Clackams-river-daily-fish-counts-2021.xlsx)</t>
  </si>
  <si>
    <t>Kevleen (2021_LCRSpringSport_STKCMP_Dist.xlsx)</t>
  </si>
  <si>
    <t xml:space="preserve">2021 Willamette Spring Chinook Return to Columbia River        </t>
  </si>
  <si>
    <r>
      <t xml:space="preserve">Grand Ronde Will. Falls platform kept catch </t>
    </r>
    <r>
      <rPr>
        <vertAlign val="superscript"/>
        <sz val="10"/>
        <rFont val="Calibri"/>
        <family val="2"/>
        <scheme val="minor"/>
      </rPr>
      <t>5</t>
    </r>
  </si>
  <si>
    <r>
      <t xml:space="preserve">5  </t>
    </r>
    <r>
      <rPr>
        <sz val="10"/>
        <rFont val="Calibri"/>
        <family val="2"/>
        <scheme val="minor"/>
      </rPr>
      <t>Age composition based on scale analysis of Willamette River sport catch and CWT recoveries.</t>
    </r>
  </si>
  <si>
    <t>AART007 (hatchery and wild)</t>
  </si>
  <si>
    <t>AART007</t>
  </si>
  <si>
    <t>see 2021 Big Sheet Data Sources/Mortality Below Falls</t>
  </si>
  <si>
    <t>Cam D. (2021 Select Area WSS age-stock comp_final_dist.pdf)</t>
  </si>
  <si>
    <t>Unclipped Rate Sea Lion Predaion</t>
  </si>
  <si>
    <t>Cliip Rate Sea Lion Predation</t>
  </si>
  <si>
    <t>ODFW 2021 sea lion study, Table 2, from Bryan Wright</t>
  </si>
  <si>
    <t>Used the % predation from Table 3 (California sea lions only) and applied to the total in Table 2.</t>
  </si>
  <si>
    <t>unclipped rate</t>
  </si>
  <si>
    <t>mean (5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</si>
</sst>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00"/>
    <numFmt numFmtId="166" formatCode="###0"/>
    <numFmt numFmtId="167" formatCode="0.000"/>
    <numFmt numFmtId="168" formatCode="#,##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vertAlign val="superscript"/>
      <sz val="10"/>
      <name val="Calibri"/>
      <family val="2"/>
    </font>
    <font>
      <u/>
      <sz val="10"/>
      <name val="Calibri"/>
      <family val="2"/>
    </font>
    <font>
      <sz val="8"/>
      <name val="Calibri"/>
      <family val="2"/>
      <scheme val="minor"/>
    </font>
    <font>
      <b/>
      <sz val="10"/>
      <color rgb="FF00B05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8">
    <xf numFmtId="0" fontId="0" fillId="0" borderId="0" xfId="0"/>
    <xf numFmtId="0" fontId="4" fillId="0" borderId="0" xfId="0" applyFont="1"/>
    <xf numFmtId="3" fontId="5" fillId="0" borderId="0" xfId="3" applyNumberFormat="1" applyFont="1" applyFill="1" applyBorder="1"/>
    <xf numFmtId="0" fontId="4" fillId="0" borderId="0" xfId="0" applyFont="1" applyFill="1"/>
    <xf numFmtId="0" fontId="6" fillId="0" borderId="0" xfId="0" applyFont="1" applyFill="1" applyAlignment="1"/>
    <xf numFmtId="0" fontId="7" fillId="0" borderId="0" xfId="0" applyFont="1" applyFill="1" applyAlignment="1"/>
    <xf numFmtId="14" fontId="7" fillId="0" borderId="0" xfId="0" applyNumberFormat="1" applyFont="1" applyFill="1" applyAlignment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8" fontId="7" fillId="0" borderId="0" xfId="0" applyNumberFormat="1" applyFont="1"/>
    <xf numFmtId="3" fontId="7" fillId="0" borderId="0" xfId="0" applyNumberFormat="1" applyFont="1" applyFill="1"/>
    <xf numFmtId="3" fontId="6" fillId="0" borderId="0" xfId="0" applyNumberFormat="1" applyFont="1" applyFill="1" applyBorder="1"/>
    <xf numFmtId="3" fontId="7" fillId="0" borderId="0" xfId="0" applyNumberFormat="1" applyFont="1" applyFill="1" applyBorder="1"/>
    <xf numFmtId="3" fontId="7" fillId="0" borderId="0" xfId="0" quotePrefix="1" applyNumberFormat="1" applyFont="1" applyFill="1" applyBorder="1" applyAlignment="1">
      <alignment horizontal="center"/>
    </xf>
    <xf numFmtId="168" fontId="7" fillId="0" borderId="0" xfId="0" applyNumberFormat="1" applyFont="1" applyFill="1"/>
    <xf numFmtId="3" fontId="6" fillId="0" borderId="0" xfId="0" applyNumberFormat="1" applyFont="1" applyFill="1"/>
    <xf numFmtId="0" fontId="7" fillId="0" borderId="0" xfId="0" quotePrefix="1" applyFont="1" applyFill="1" applyBorder="1" applyAlignment="1">
      <alignment horizontal="center"/>
    </xf>
    <xf numFmtId="4" fontId="7" fillId="0" borderId="0" xfId="0" applyNumberFormat="1" applyFont="1" applyFill="1"/>
    <xf numFmtId="3" fontId="8" fillId="0" borderId="0" xfId="0" applyNumberFormat="1" applyFont="1" applyFill="1"/>
    <xf numFmtId="0" fontId="6" fillId="0" borderId="3" xfId="0" applyFont="1" applyFill="1" applyBorder="1"/>
    <xf numFmtId="3" fontId="6" fillId="0" borderId="0" xfId="0" applyNumberFormat="1" applyFont="1" applyFill="1" applyBorder="1" applyAlignment="1">
      <alignment horizontal="center"/>
    </xf>
    <xf numFmtId="168" fontId="7" fillId="0" borderId="0" xfId="0" applyNumberFormat="1" applyFont="1" applyBorder="1"/>
    <xf numFmtId="3" fontId="7" fillId="0" borderId="0" xfId="0" applyNumberFormat="1" applyFont="1"/>
    <xf numFmtId="3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/>
    <xf numFmtId="3" fontId="7" fillId="0" borderId="0" xfId="0" applyNumberFormat="1" applyFont="1" applyBorder="1"/>
    <xf numFmtId="164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/>
    <xf numFmtId="164" fontId="7" fillId="0" borderId="0" xfId="0" applyNumberFormat="1" applyFont="1"/>
    <xf numFmtId="10" fontId="7" fillId="0" borderId="0" xfId="0" applyNumberFormat="1" applyFont="1" applyFill="1"/>
    <xf numFmtId="10" fontId="7" fillId="0" borderId="0" xfId="0" applyNumberFormat="1" applyFont="1"/>
    <xf numFmtId="168" fontId="7" fillId="0" borderId="0" xfId="0" applyNumberFormat="1" applyFont="1" applyFill="1" applyBorder="1"/>
    <xf numFmtId="10" fontId="7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14" fontId="7" fillId="0" borderId="0" xfId="0" quotePrefix="1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/>
    <xf numFmtId="165" fontId="7" fillId="0" borderId="0" xfId="0" applyNumberFormat="1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0" fontId="7" fillId="0" borderId="0" xfId="0" applyFont="1" applyBorder="1" applyAlignment="1"/>
    <xf numFmtId="167" fontId="7" fillId="0" borderId="0" xfId="0" applyNumberFormat="1" applyFont="1" applyBorder="1"/>
    <xf numFmtId="0" fontId="7" fillId="0" borderId="0" xfId="0" applyNumberFormat="1" applyFont="1" applyBorder="1"/>
    <xf numFmtId="10" fontId="7" fillId="0" borderId="0" xfId="0" applyNumberFormat="1" applyFont="1" applyFill="1" applyAlignment="1">
      <alignment horizontal="right"/>
    </xf>
    <xf numFmtId="3" fontId="11" fillId="0" borderId="0" xfId="0" applyNumberFormat="1" applyFont="1" applyFill="1" applyBorder="1"/>
    <xf numFmtId="3" fontId="11" fillId="0" borderId="0" xfId="0" quotePrefix="1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2" xfId="0" applyFont="1" applyFill="1" applyBorder="1"/>
    <xf numFmtId="3" fontId="12" fillId="0" borderId="2" xfId="0" applyNumberFormat="1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Fill="1"/>
    <xf numFmtId="0" fontId="11" fillId="0" borderId="0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2" xfId="0" applyFont="1" applyFill="1" applyBorder="1"/>
    <xf numFmtId="164" fontId="11" fillId="0" borderId="0" xfId="0" applyNumberFormat="1" applyFont="1" applyFill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8" fontId="11" fillId="0" borderId="0" xfId="0" applyNumberFormat="1" applyFont="1" applyFill="1" applyBorder="1"/>
    <xf numFmtId="0" fontId="13" fillId="0" borderId="0" xfId="0" applyFont="1" applyFill="1" applyAlignment="1"/>
    <xf numFmtId="0" fontId="14" fillId="0" borderId="0" xfId="0" applyFont="1" applyFill="1" applyAlignment="1"/>
    <xf numFmtId="14" fontId="14" fillId="0" borderId="0" xfId="0" applyNumberFormat="1" applyFont="1" applyFill="1" applyAlignment="1"/>
    <xf numFmtId="0" fontId="14" fillId="0" borderId="0" xfId="0" applyFont="1"/>
    <xf numFmtId="0" fontId="14" fillId="0" borderId="0" xfId="0" applyFont="1" applyFill="1"/>
    <xf numFmtId="0" fontId="13" fillId="0" borderId="0" xfId="0" applyFont="1" applyFill="1"/>
    <xf numFmtId="0" fontId="13" fillId="0" borderId="0" xfId="0" applyFont="1"/>
    <xf numFmtId="0" fontId="13" fillId="0" borderId="1" xfId="0" applyFont="1" applyFill="1" applyBorder="1"/>
    <xf numFmtId="0" fontId="13" fillId="0" borderId="1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" fontId="14" fillId="0" borderId="0" xfId="0" applyNumberFormat="1" applyFont="1"/>
    <xf numFmtId="3" fontId="16" fillId="0" borderId="0" xfId="0" applyNumberFormat="1" applyFont="1" applyFill="1"/>
    <xf numFmtId="3" fontId="17" fillId="0" borderId="0" xfId="0" applyNumberFormat="1" applyFont="1" applyFill="1"/>
    <xf numFmtId="0" fontId="16" fillId="0" borderId="0" xfId="0" applyFont="1" applyFill="1" applyBorder="1" applyAlignment="1">
      <alignment horizontal="left"/>
    </xf>
    <xf numFmtId="10" fontId="14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Fill="1"/>
    <xf numFmtId="0" fontId="14" fillId="0" borderId="0" xfId="0" applyFont="1" applyFill="1" applyBorder="1"/>
    <xf numFmtId="3" fontId="14" fillId="0" borderId="0" xfId="0" applyNumberFormat="1" applyFont="1" applyFill="1"/>
    <xf numFmtId="0" fontId="14" fillId="0" borderId="0" xfId="0" applyFont="1" applyBorder="1"/>
    <xf numFmtId="3" fontId="14" fillId="0" borderId="0" xfId="0" applyNumberFormat="1" applyFont="1"/>
    <xf numFmtId="10" fontId="14" fillId="0" borderId="0" xfId="0" applyNumberFormat="1" applyFont="1"/>
    <xf numFmtId="0" fontId="16" fillId="0" borderId="2" xfId="0" applyFont="1" applyFill="1" applyBorder="1"/>
    <xf numFmtId="3" fontId="17" fillId="0" borderId="2" xfId="0" applyNumberFormat="1" applyFont="1" applyFill="1" applyBorder="1"/>
    <xf numFmtId="0" fontId="16" fillId="0" borderId="2" xfId="0" applyFont="1" applyBorder="1"/>
    <xf numFmtId="0" fontId="13" fillId="0" borderId="3" xfId="0" applyFont="1" applyFill="1" applyBorder="1"/>
    <xf numFmtId="10" fontId="14" fillId="3" borderId="0" xfId="0" applyNumberFormat="1" applyFont="1" applyFill="1" applyAlignment="1">
      <alignment horizontal="right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3" fontId="17" fillId="0" borderId="0" xfId="0" applyNumberFormat="1" applyFont="1"/>
    <xf numFmtId="10" fontId="14" fillId="3" borderId="0" xfId="2" applyNumberFormat="1" applyFont="1" applyFill="1" applyAlignment="1">
      <alignment horizontal="right"/>
    </xf>
    <xf numFmtId="0" fontId="14" fillId="3" borderId="1" xfId="0" applyFont="1" applyFill="1" applyBorder="1"/>
    <xf numFmtId="0" fontId="17" fillId="0" borderId="0" xfId="0" applyFont="1" applyFill="1"/>
    <xf numFmtId="3" fontId="14" fillId="3" borderId="0" xfId="0" applyNumberFormat="1" applyFont="1" applyFill="1"/>
    <xf numFmtId="10" fontId="14" fillId="3" borderId="0" xfId="0" applyNumberFormat="1" applyFont="1" applyFill="1"/>
    <xf numFmtId="0" fontId="17" fillId="0" borderId="1" xfId="0" applyFont="1" applyFill="1" applyBorder="1"/>
    <xf numFmtId="0" fontId="14" fillId="0" borderId="0" xfId="0" applyFont="1" applyAlignment="1">
      <alignment horizontal="left"/>
    </xf>
    <xf numFmtId="10" fontId="14" fillId="0" borderId="0" xfId="2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NumberFormat="1" applyFont="1" applyFill="1" applyBorder="1" applyAlignment="1" applyProtection="1"/>
    <xf numFmtId="0" fontId="17" fillId="0" borderId="2" xfId="0" applyFont="1" applyFill="1" applyBorder="1"/>
    <xf numFmtId="1" fontId="14" fillId="0" borderId="0" xfId="0" applyNumberFormat="1" applyFont="1" applyFill="1"/>
    <xf numFmtId="0" fontId="17" fillId="0" borderId="0" xfId="0" applyFont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0" fontId="18" fillId="0" borderId="0" xfId="2" applyNumberFormat="1" applyFont="1" applyFill="1"/>
    <xf numFmtId="10" fontId="14" fillId="0" borderId="0" xfId="0" applyNumberFormat="1" applyFont="1" applyFill="1"/>
    <xf numFmtId="10" fontId="14" fillId="0" borderId="0" xfId="2" applyNumberFormat="1" applyFont="1"/>
    <xf numFmtId="164" fontId="14" fillId="0" borderId="0" xfId="2" applyNumberFormat="1" applyFont="1"/>
    <xf numFmtId="164" fontId="16" fillId="0" borderId="0" xfId="0" applyNumberFormat="1" applyFont="1" applyFill="1"/>
    <xf numFmtId="164" fontId="16" fillId="0" borderId="0" xfId="0" applyNumberFormat="1" applyFont="1"/>
    <xf numFmtId="10" fontId="14" fillId="0" borderId="0" xfId="2" applyNumberFormat="1" applyFont="1" applyFill="1"/>
    <xf numFmtId="0" fontId="13" fillId="0" borderId="0" xfId="0" applyNumberFormat="1" applyFont="1" applyFill="1" applyBorder="1" applyAlignment="1" applyProtection="1"/>
    <xf numFmtId="0" fontId="13" fillId="0" borderId="0" xfId="0" applyFont="1" applyFill="1" applyBorder="1"/>
    <xf numFmtId="10" fontId="14" fillId="0" borderId="0" xfId="0" applyNumberFormat="1" applyFont="1" applyFill="1" applyBorder="1"/>
    <xf numFmtId="10" fontId="14" fillId="0" borderId="0" xfId="0" applyNumberFormat="1" applyFont="1" applyBorder="1"/>
    <xf numFmtId="0" fontId="19" fillId="0" borderId="0" xfId="0" applyFont="1" applyFill="1" applyBorder="1"/>
    <xf numFmtId="0" fontId="14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 applyAlignment="1"/>
    <xf numFmtId="167" fontId="14" fillId="0" borderId="0" xfId="0" applyNumberFormat="1" applyFont="1" applyBorder="1"/>
    <xf numFmtId="0" fontId="14" fillId="0" borderId="0" xfId="0" applyNumberFormat="1" applyFont="1" applyBorder="1"/>
    <xf numFmtId="10" fontId="14" fillId="0" borderId="0" xfId="0" applyNumberFormat="1" applyFont="1" applyFill="1" applyAlignment="1">
      <alignment horizontal="right"/>
    </xf>
    <xf numFmtId="0" fontId="15" fillId="0" borderId="0" xfId="0" applyFont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6" fillId="0" borderId="1" xfId="0" applyFont="1" applyFill="1" applyBorder="1"/>
    <xf numFmtId="0" fontId="16" fillId="0" borderId="1" xfId="0" applyFont="1" applyBorder="1"/>
    <xf numFmtId="1" fontId="14" fillId="0" borderId="0" xfId="0" applyNumberFormat="1" applyFont="1" applyFill="1" applyBorder="1"/>
    <xf numFmtId="0" fontId="20" fillId="0" borderId="0" xfId="0" applyFont="1" applyFill="1" applyBorder="1" applyAlignment="1">
      <alignment horizontal="center"/>
    </xf>
    <xf numFmtId="10" fontId="18" fillId="0" borderId="0" xfId="2" applyNumberFormat="1" applyFont="1" applyFill="1" applyBorder="1" applyAlignment="1">
      <alignment horizontal="center"/>
    </xf>
    <xf numFmtId="3" fontId="14" fillId="0" borderId="0" xfId="0" applyNumberFormat="1" applyFont="1" applyFill="1" applyBorder="1"/>
    <xf numFmtId="3" fontId="13" fillId="0" borderId="0" xfId="0" applyNumberFormat="1" applyFont="1" applyFill="1"/>
    <xf numFmtId="3" fontId="13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9" fontId="13" fillId="0" borderId="0" xfId="2" applyFont="1" applyFill="1" applyBorder="1"/>
    <xf numFmtId="10" fontId="18" fillId="0" borderId="0" xfId="2" applyNumberFormat="1" applyFont="1" applyFill="1" applyBorder="1"/>
    <xf numFmtId="164" fontId="14" fillId="0" borderId="0" xfId="0" applyNumberFormat="1" applyFont="1" applyFill="1"/>
    <xf numFmtId="164" fontId="14" fillId="0" borderId="0" xfId="0" applyNumberFormat="1" applyFont="1" applyFill="1" applyBorder="1"/>
    <xf numFmtId="0" fontId="18" fillId="0" borderId="0" xfId="0" applyFont="1"/>
    <xf numFmtId="0" fontId="19" fillId="0" borderId="0" xfId="0" applyFont="1" applyFill="1"/>
    <xf numFmtId="3" fontId="6" fillId="0" borderId="3" xfId="0" applyNumberFormat="1" applyFont="1" applyFill="1" applyBorder="1"/>
    <xf numFmtId="164" fontId="7" fillId="0" borderId="0" xfId="0" applyNumberFormat="1" applyFont="1" applyFill="1"/>
    <xf numFmtId="164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/>
    <xf numFmtId="3" fontId="14" fillId="0" borderId="3" xfId="0" applyNumberFormat="1" applyFont="1" applyFill="1" applyBorder="1"/>
    <xf numFmtId="164" fontId="14" fillId="0" borderId="0" xfId="0" applyNumberFormat="1" applyFont="1"/>
    <xf numFmtId="3" fontId="14" fillId="0" borderId="0" xfId="1" applyNumberFormat="1" applyFont="1"/>
    <xf numFmtId="0" fontId="14" fillId="0" borderId="2" xfId="0" applyFont="1" applyFill="1" applyBorder="1"/>
    <xf numFmtId="3" fontId="13" fillId="0" borderId="2" xfId="0" applyNumberFormat="1" applyFont="1" applyFill="1" applyBorder="1"/>
    <xf numFmtId="0" fontId="14" fillId="0" borderId="2" xfId="0" applyFont="1" applyBorder="1"/>
    <xf numFmtId="3" fontId="13" fillId="0" borderId="3" xfId="0" applyNumberFormat="1" applyFont="1" applyFill="1" applyBorder="1"/>
    <xf numFmtId="3" fontId="13" fillId="0" borderId="0" xfId="0" applyNumberFormat="1" applyFont="1"/>
    <xf numFmtId="0" fontId="13" fillId="0" borderId="2" xfId="0" applyFont="1" applyFill="1" applyBorder="1"/>
    <xf numFmtId="3" fontId="22" fillId="0" borderId="0" xfId="0" applyNumberFormat="1" applyFont="1" applyFill="1"/>
    <xf numFmtId="1" fontId="22" fillId="0" borderId="0" xfId="0" applyNumberFormat="1" applyFont="1" applyFill="1"/>
    <xf numFmtId="3" fontId="6" fillId="0" borderId="0" xfId="0" applyNumberFormat="1" applyFont="1"/>
    <xf numFmtId="0" fontId="23" fillId="0" borderId="0" xfId="0" applyFont="1" applyAlignment="1">
      <alignment horizontal="left"/>
    </xf>
    <xf numFmtId="10" fontId="23" fillId="0" borderId="0" xfId="2" applyNumberFormat="1" applyFont="1" applyAlignment="1">
      <alignment horizontal="left"/>
    </xf>
    <xf numFmtId="10" fontId="23" fillId="0" borderId="0" xfId="0" applyNumberFormat="1" applyFont="1" applyAlignment="1">
      <alignment horizontal="left"/>
    </xf>
    <xf numFmtId="0" fontId="1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elly.Dirksen@grandronde.org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Q121"/>
  <sheetViews>
    <sheetView topLeftCell="A16" zoomScaleNormal="100" workbookViewId="0">
      <selection activeCell="F33" sqref="F33"/>
    </sheetView>
  </sheetViews>
  <sheetFormatPr defaultColWidth="41" defaultRowHeight="13.8" x14ac:dyDescent="0.3"/>
  <cols>
    <col min="1" max="1" width="41" style="77"/>
    <col min="2" max="7" width="10.109375" style="77" customWidth="1"/>
    <col min="8" max="8" width="41" style="77"/>
    <col min="9" max="16" width="41" style="91"/>
    <col min="17" max="17" width="41" style="78"/>
    <col min="18" max="16384" width="41" style="77"/>
  </cols>
  <sheetData>
    <row r="1" spans="1:12" x14ac:dyDescent="0.3">
      <c r="A1" s="74" t="str">
        <f>Worksheet!A1</f>
        <v xml:space="preserve">2021 Willamette Spring Chinook Return to Columbia River        </v>
      </c>
      <c r="B1" s="75"/>
      <c r="C1" s="75"/>
      <c r="D1" s="75"/>
      <c r="E1" s="75"/>
      <c r="F1" s="76"/>
    </row>
    <row r="2" spans="1:12" x14ac:dyDescent="0.3">
      <c r="A2" s="78"/>
      <c r="B2" s="78"/>
      <c r="C2" s="78"/>
      <c r="D2" s="78"/>
      <c r="E2" s="78"/>
      <c r="F2" s="78"/>
    </row>
    <row r="3" spans="1:12" x14ac:dyDescent="0.3">
      <c r="A3" s="79"/>
      <c r="B3" s="78"/>
      <c r="C3" s="78"/>
      <c r="D3" s="78"/>
      <c r="E3" s="78"/>
      <c r="F3" s="78"/>
    </row>
    <row r="4" spans="1:12" x14ac:dyDescent="0.3">
      <c r="A4" s="80"/>
      <c r="B4" s="80"/>
      <c r="C4" s="80"/>
      <c r="D4" s="80"/>
      <c r="E4" s="80"/>
    </row>
    <row r="5" spans="1:12" x14ac:dyDescent="0.3">
      <c r="A5" s="81" t="s">
        <v>1</v>
      </c>
      <c r="B5" s="82" t="s">
        <v>2</v>
      </c>
      <c r="C5" s="82" t="s">
        <v>3</v>
      </c>
      <c r="D5" s="82" t="s">
        <v>4</v>
      </c>
      <c r="E5" s="82" t="s">
        <v>5</v>
      </c>
      <c r="F5" s="82" t="s">
        <v>6</v>
      </c>
      <c r="G5" s="82" t="s">
        <v>26</v>
      </c>
      <c r="H5" s="83"/>
      <c r="I5" s="83"/>
    </row>
    <row r="6" spans="1:12" x14ac:dyDescent="0.3">
      <c r="A6" s="78" t="s">
        <v>7</v>
      </c>
      <c r="B6" s="92">
        <f>Worksheet!B6</f>
        <v>0</v>
      </c>
      <c r="C6" s="92">
        <f>Worksheet!C6</f>
        <v>148</v>
      </c>
      <c r="D6" s="92">
        <f>Worksheet!D6</f>
        <v>114</v>
      </c>
      <c r="E6" s="92">
        <f>Worksheet!E6</f>
        <v>0</v>
      </c>
      <c r="F6" s="147">
        <f>Worksheet!F6</f>
        <v>262</v>
      </c>
      <c r="G6" s="162">
        <f>+F6-B6</f>
        <v>262</v>
      </c>
      <c r="H6" s="115"/>
      <c r="I6" s="143"/>
      <c r="K6" s="144"/>
      <c r="L6" s="144"/>
    </row>
    <row r="7" spans="1:12" x14ac:dyDescent="0.3">
      <c r="A7" s="78" t="s">
        <v>8</v>
      </c>
      <c r="B7" s="92">
        <f>Worksheet!B7</f>
        <v>15</v>
      </c>
      <c r="C7" s="92">
        <f>Worksheet!C7</f>
        <v>818</v>
      </c>
      <c r="D7" s="92">
        <f>Worksheet!D7</f>
        <v>255</v>
      </c>
      <c r="E7" s="92">
        <f>Worksheet!E7</f>
        <v>0</v>
      </c>
      <c r="F7" s="147">
        <f>Worksheet!F7</f>
        <v>1088</v>
      </c>
      <c r="G7" s="162">
        <f t="shared" ref="G7:G13" si="0">+F7-B7</f>
        <v>1073</v>
      </c>
      <c r="K7" s="145"/>
      <c r="L7" s="88"/>
    </row>
    <row r="8" spans="1:12" x14ac:dyDescent="0.3">
      <c r="A8" s="78" t="s">
        <v>9</v>
      </c>
      <c r="B8" s="92">
        <f>Worksheet!B8</f>
        <v>0</v>
      </c>
      <c r="C8" s="92">
        <f>Worksheet!C8</f>
        <v>10</v>
      </c>
      <c r="D8" s="92">
        <f>Worksheet!D8</f>
        <v>4</v>
      </c>
      <c r="E8" s="92">
        <f>Worksheet!E8</f>
        <v>0</v>
      </c>
      <c r="F8" s="147">
        <f>Worksheet!F8</f>
        <v>14</v>
      </c>
      <c r="G8" s="162">
        <f t="shared" si="0"/>
        <v>14</v>
      </c>
      <c r="H8" s="94"/>
      <c r="I8" s="146"/>
    </row>
    <row r="9" spans="1:12" x14ac:dyDescent="0.3">
      <c r="A9" s="78" t="s">
        <v>57</v>
      </c>
      <c r="B9" s="92">
        <f>Worksheet!B9</f>
        <v>75</v>
      </c>
      <c r="C9" s="92">
        <f>Worksheet!C9</f>
        <v>4497</v>
      </c>
      <c r="D9" s="92">
        <f>Worksheet!D9</f>
        <v>1762</v>
      </c>
      <c r="E9" s="92">
        <f>Worksheet!E9</f>
        <v>0</v>
      </c>
      <c r="F9" s="147">
        <f>Worksheet!F9</f>
        <v>6334</v>
      </c>
      <c r="G9" s="162">
        <f t="shared" si="0"/>
        <v>6259</v>
      </c>
    </row>
    <row r="10" spans="1:12" x14ac:dyDescent="0.3">
      <c r="A10" s="78" t="s">
        <v>58</v>
      </c>
      <c r="B10" s="92">
        <f>Worksheet!B10</f>
        <v>2</v>
      </c>
      <c r="C10" s="92">
        <f>Worksheet!C10</f>
        <v>98</v>
      </c>
      <c r="D10" s="92">
        <f>Worksheet!D10</f>
        <v>39</v>
      </c>
      <c r="E10" s="92">
        <f>Worksheet!E10</f>
        <v>0</v>
      </c>
      <c r="F10" s="147">
        <f>Worksheet!F10</f>
        <v>139</v>
      </c>
      <c r="G10" s="162">
        <f t="shared" si="0"/>
        <v>137</v>
      </c>
      <c r="H10" s="94"/>
      <c r="I10" s="146"/>
    </row>
    <row r="11" spans="1:12" x14ac:dyDescent="0.3">
      <c r="A11" s="78" t="s">
        <v>11</v>
      </c>
      <c r="B11" s="92">
        <f>Worksheet!B11</f>
        <v>1</v>
      </c>
      <c r="C11" s="92">
        <f>Worksheet!C11</f>
        <v>2</v>
      </c>
      <c r="D11" s="92">
        <f>Worksheet!D11</f>
        <v>2</v>
      </c>
      <c r="E11" s="92">
        <f>Worksheet!E11</f>
        <v>0</v>
      </c>
      <c r="F11" s="147">
        <f>Worksheet!F11</f>
        <v>5</v>
      </c>
      <c r="G11" s="162">
        <f t="shared" si="0"/>
        <v>4</v>
      </c>
    </row>
    <row r="12" spans="1:12" x14ac:dyDescent="0.3">
      <c r="A12" s="78" t="s">
        <v>31</v>
      </c>
      <c r="B12" s="92">
        <f>Worksheet!B12</f>
        <v>0</v>
      </c>
      <c r="C12" s="92">
        <f>Worksheet!C12</f>
        <v>1</v>
      </c>
      <c r="D12" s="92">
        <f>Worksheet!D12</f>
        <v>0</v>
      </c>
      <c r="E12" s="92">
        <f>Worksheet!E12</f>
        <v>0</v>
      </c>
      <c r="F12" s="147">
        <f>Worksheet!F12</f>
        <v>1</v>
      </c>
      <c r="G12" s="162">
        <f t="shared" si="0"/>
        <v>1</v>
      </c>
      <c r="H12" s="94"/>
      <c r="I12" s="146"/>
    </row>
    <row r="13" spans="1:12" x14ac:dyDescent="0.3">
      <c r="A13" s="78" t="s">
        <v>59</v>
      </c>
      <c r="B13" s="92">
        <f>Worksheet!B13</f>
        <v>0</v>
      </c>
      <c r="C13" s="92">
        <f>Worksheet!C13</f>
        <v>0</v>
      </c>
      <c r="D13" s="92">
        <f>Worksheet!D13</f>
        <v>0</v>
      </c>
      <c r="E13" s="92">
        <f>Worksheet!E13</f>
        <v>0</v>
      </c>
      <c r="F13" s="147">
        <f>Worksheet!F13</f>
        <v>0</v>
      </c>
      <c r="G13" s="162">
        <f t="shared" si="0"/>
        <v>0</v>
      </c>
      <c r="H13" s="94"/>
      <c r="I13" s="146"/>
    </row>
    <row r="14" spans="1:12" ht="14.4" thickBot="1" x14ac:dyDescent="0.35">
      <c r="A14" s="78"/>
      <c r="B14" s="78"/>
      <c r="C14" s="78"/>
      <c r="D14" s="78"/>
      <c r="E14" s="163"/>
      <c r="F14" s="164"/>
      <c r="G14" s="165"/>
    </row>
    <row r="15" spans="1:12" ht="14.4" thickTop="1" x14ac:dyDescent="0.3">
      <c r="A15" s="99" t="s">
        <v>12</v>
      </c>
      <c r="B15" s="166">
        <f>SUM(B6:B13)</f>
        <v>93</v>
      </c>
      <c r="C15" s="166">
        <f>SUM(C6:C13)</f>
        <v>5574</v>
      </c>
      <c r="D15" s="166">
        <f>SUM(D6:D13)</f>
        <v>2176</v>
      </c>
      <c r="E15" s="166">
        <f>SUM(E6:E13)</f>
        <v>0</v>
      </c>
      <c r="F15" s="147">
        <f>SUM(F6:F13)</f>
        <v>7843</v>
      </c>
      <c r="G15" s="162">
        <f>+F15-B15</f>
        <v>7750</v>
      </c>
      <c r="H15" s="147"/>
      <c r="I15" s="148"/>
      <c r="J15" s="146"/>
    </row>
    <row r="16" spans="1:12" x14ac:dyDescent="0.3">
      <c r="F16" s="167"/>
    </row>
    <row r="17" spans="1:16" x14ac:dyDescent="0.3">
      <c r="A17" s="78"/>
      <c r="B17" s="78"/>
      <c r="C17" s="78"/>
      <c r="D17" s="78" t="s">
        <v>13</v>
      </c>
      <c r="E17" s="78"/>
      <c r="F17" s="79"/>
    </row>
    <row r="18" spans="1:16" x14ac:dyDescent="0.3">
      <c r="A18" s="81" t="s">
        <v>14</v>
      </c>
      <c r="B18" s="82" t="s">
        <v>2</v>
      </c>
      <c r="C18" s="82" t="s">
        <v>3</v>
      </c>
      <c r="D18" s="82" t="s">
        <v>4</v>
      </c>
      <c r="E18" s="82" t="s">
        <v>5</v>
      </c>
      <c r="F18" s="82" t="s">
        <v>6</v>
      </c>
      <c r="G18" s="83" t="s">
        <v>26</v>
      </c>
    </row>
    <row r="19" spans="1:16" x14ac:dyDescent="0.3">
      <c r="A19" s="78" t="s">
        <v>32</v>
      </c>
      <c r="B19" s="92">
        <f>Worksheet!B19</f>
        <v>1379</v>
      </c>
      <c r="C19" s="92">
        <f>Worksheet!C19</f>
        <v>20581</v>
      </c>
      <c r="D19" s="92">
        <f>Worksheet!D19</f>
        <v>8065</v>
      </c>
      <c r="E19" s="92">
        <f>Worksheet!E19</f>
        <v>0</v>
      </c>
      <c r="F19" s="147">
        <f>Worksheet!F19</f>
        <v>30025</v>
      </c>
      <c r="G19" s="162">
        <f t="shared" ref="G19:G27" si="1">+F19-B19</f>
        <v>28646</v>
      </c>
      <c r="H19" s="94"/>
      <c r="I19" s="146"/>
      <c r="J19" s="143"/>
    </row>
    <row r="20" spans="1:16" x14ac:dyDescent="0.3">
      <c r="A20" s="78" t="s">
        <v>15</v>
      </c>
      <c r="B20" s="92">
        <f>Worksheet!B20</f>
        <v>2</v>
      </c>
      <c r="C20" s="92">
        <f>Worksheet!C20</f>
        <v>135</v>
      </c>
      <c r="D20" s="92">
        <f>Worksheet!D20</f>
        <v>53</v>
      </c>
      <c r="E20" s="92">
        <f>Worksheet!E20</f>
        <v>0</v>
      </c>
      <c r="F20" s="147">
        <f>Worksheet!F20</f>
        <v>190</v>
      </c>
      <c r="G20" s="162">
        <f t="shared" si="1"/>
        <v>188</v>
      </c>
      <c r="H20" s="94"/>
      <c r="I20" s="146"/>
      <c r="J20" s="143"/>
    </row>
    <row r="21" spans="1:16" x14ac:dyDescent="0.3">
      <c r="A21" s="78" t="s">
        <v>33</v>
      </c>
      <c r="B21" s="92">
        <f>Worksheet!B21</f>
        <v>144</v>
      </c>
      <c r="C21" s="92">
        <f>Worksheet!C21</f>
        <v>196</v>
      </c>
      <c r="D21" s="92">
        <f>Worksheet!D21</f>
        <v>137</v>
      </c>
      <c r="E21" s="92">
        <f>Worksheet!E21</f>
        <v>0</v>
      </c>
      <c r="F21" s="147">
        <f>Worksheet!F21</f>
        <v>477</v>
      </c>
      <c r="G21" s="162">
        <f t="shared" si="1"/>
        <v>333</v>
      </c>
    </row>
    <row r="22" spans="1:16" x14ac:dyDescent="0.3">
      <c r="A22" s="78" t="s">
        <v>34</v>
      </c>
      <c r="B22" s="92">
        <f>Worksheet!B22</f>
        <v>15</v>
      </c>
      <c r="C22" s="92">
        <f>Worksheet!C22</f>
        <v>97</v>
      </c>
      <c r="D22" s="92">
        <f>Worksheet!D22</f>
        <v>68</v>
      </c>
      <c r="E22" s="92">
        <f>Worksheet!E22</f>
        <v>0</v>
      </c>
      <c r="F22" s="147">
        <f>Worksheet!F22</f>
        <v>180</v>
      </c>
      <c r="G22" s="162">
        <f t="shared" si="1"/>
        <v>165</v>
      </c>
    </row>
    <row r="23" spans="1:16" x14ac:dyDescent="0.3">
      <c r="A23" s="78" t="s">
        <v>28</v>
      </c>
      <c r="B23" s="92">
        <f>Worksheet!B23</f>
        <v>0</v>
      </c>
      <c r="C23" s="92">
        <f>Worksheet!C23</f>
        <v>13</v>
      </c>
      <c r="D23" s="92">
        <f>Worksheet!D23</f>
        <v>9</v>
      </c>
      <c r="E23" s="92">
        <f>Worksheet!E23</f>
        <v>0</v>
      </c>
      <c r="F23" s="147">
        <f>Worksheet!F23</f>
        <v>22</v>
      </c>
      <c r="G23" s="162">
        <f t="shared" si="1"/>
        <v>22</v>
      </c>
    </row>
    <row r="24" spans="1:16" s="78" customFormat="1" x14ac:dyDescent="0.3">
      <c r="A24" s="78" t="s">
        <v>35</v>
      </c>
      <c r="B24" s="92">
        <f>Worksheet!B24</f>
        <v>191</v>
      </c>
      <c r="C24" s="92">
        <f>Worksheet!C24</f>
        <v>1681</v>
      </c>
      <c r="D24" s="92">
        <f>Worksheet!D24</f>
        <v>1176</v>
      </c>
      <c r="E24" s="92">
        <f>Worksheet!E24</f>
        <v>0</v>
      </c>
      <c r="F24" s="147">
        <f>Worksheet!F24</f>
        <v>3048</v>
      </c>
      <c r="G24" s="162">
        <f t="shared" si="1"/>
        <v>2857</v>
      </c>
      <c r="H24" s="92"/>
      <c r="I24" s="146"/>
      <c r="J24" s="146"/>
      <c r="K24" s="91"/>
      <c r="L24" s="91"/>
      <c r="M24" s="91"/>
      <c r="N24" s="91"/>
      <c r="O24" s="91"/>
      <c r="P24" s="91"/>
    </row>
    <row r="25" spans="1:16" s="78" customFormat="1" x14ac:dyDescent="0.3">
      <c r="A25" s="78" t="s">
        <v>29</v>
      </c>
      <c r="B25" s="92">
        <f>Worksheet!B25</f>
        <v>0</v>
      </c>
      <c r="C25" s="92">
        <f>Worksheet!C25</f>
        <v>0</v>
      </c>
      <c r="D25" s="92">
        <f>Worksheet!D25</f>
        <v>0</v>
      </c>
      <c r="E25" s="92">
        <f>Worksheet!E25</f>
        <v>0</v>
      </c>
      <c r="F25" s="147">
        <f>Worksheet!F25</f>
        <v>0</v>
      </c>
      <c r="G25" s="162">
        <f t="shared" si="1"/>
        <v>0</v>
      </c>
      <c r="I25" s="91"/>
      <c r="J25" s="91"/>
      <c r="K25" s="91"/>
      <c r="L25" s="91"/>
      <c r="M25" s="91"/>
      <c r="N25" s="91"/>
      <c r="O25" s="91"/>
      <c r="P25" s="91"/>
    </row>
    <row r="26" spans="1:16" s="78" customFormat="1" x14ac:dyDescent="0.3">
      <c r="A26" s="78" t="s">
        <v>16</v>
      </c>
      <c r="B26" s="92">
        <f>Worksheet!B26</f>
        <v>0</v>
      </c>
      <c r="C26" s="92">
        <f>Worksheet!C26</f>
        <v>0</v>
      </c>
      <c r="D26" s="92">
        <f>Worksheet!D26</f>
        <v>0</v>
      </c>
      <c r="E26" s="92">
        <f>Worksheet!E26</f>
        <v>0</v>
      </c>
      <c r="F26" s="147">
        <f>Worksheet!F26</f>
        <v>0</v>
      </c>
      <c r="G26" s="162">
        <f t="shared" si="1"/>
        <v>0</v>
      </c>
      <c r="H26" s="92"/>
      <c r="I26" s="146"/>
      <c r="J26" s="143"/>
      <c r="K26" s="91"/>
      <c r="L26" s="91"/>
      <c r="M26" s="91"/>
      <c r="N26" s="91"/>
      <c r="O26" s="91"/>
      <c r="P26" s="91"/>
    </row>
    <row r="27" spans="1:16" x14ac:dyDescent="0.3">
      <c r="A27" s="113" t="s">
        <v>36</v>
      </c>
      <c r="B27" s="92">
        <f>Worksheet!B27</f>
        <v>16</v>
      </c>
      <c r="C27" s="92">
        <f>Worksheet!C27</f>
        <v>968</v>
      </c>
      <c r="D27" s="92">
        <f>Worksheet!D27</f>
        <v>379</v>
      </c>
      <c r="E27" s="92">
        <f>Worksheet!E27</f>
        <v>0</v>
      </c>
      <c r="F27" s="147">
        <f>Worksheet!F27</f>
        <v>1363</v>
      </c>
      <c r="G27" s="162">
        <f t="shared" si="1"/>
        <v>1347</v>
      </c>
      <c r="H27" s="94"/>
      <c r="I27" s="146"/>
      <c r="J27" s="143"/>
    </row>
    <row r="28" spans="1:16" ht="14.4" thickBot="1" x14ac:dyDescent="0.35">
      <c r="A28" s="78"/>
      <c r="B28" s="78"/>
      <c r="C28" s="78"/>
      <c r="D28" s="78"/>
      <c r="E28" s="163"/>
      <c r="F28" s="168"/>
      <c r="G28" s="165"/>
    </row>
    <row r="29" spans="1:16" ht="14.4" thickTop="1" x14ac:dyDescent="0.3">
      <c r="A29" s="99" t="s">
        <v>12</v>
      </c>
      <c r="B29" s="166">
        <f>SUM(B19:B27)</f>
        <v>1747</v>
      </c>
      <c r="C29" s="166">
        <f>SUM(C19:C27)</f>
        <v>23671</v>
      </c>
      <c r="D29" s="166">
        <f>SUM(D19:D27)</f>
        <v>9887</v>
      </c>
      <c r="E29" s="166">
        <f>SUM(E19:E27)</f>
        <v>0</v>
      </c>
      <c r="F29" s="147">
        <f>SUM(F19:F27)</f>
        <v>35305</v>
      </c>
      <c r="G29" s="162">
        <f>+F29-B29</f>
        <v>33558</v>
      </c>
      <c r="H29" s="147"/>
      <c r="I29" s="148"/>
      <c r="J29" s="143"/>
    </row>
    <row r="30" spans="1:16" x14ac:dyDescent="0.3">
      <c r="A30" s="80"/>
      <c r="B30" s="80"/>
      <c r="C30" s="80"/>
      <c r="D30" s="80"/>
      <c r="E30" s="80"/>
      <c r="F30" s="147"/>
    </row>
    <row r="31" spans="1:16" x14ac:dyDescent="0.3">
      <c r="A31" s="78"/>
      <c r="B31" s="78"/>
      <c r="C31" s="78"/>
      <c r="D31" s="78"/>
      <c r="E31" s="78"/>
      <c r="F31" s="79"/>
      <c r="L31" s="149"/>
      <c r="M31" s="149"/>
    </row>
    <row r="32" spans="1:16" x14ac:dyDescent="0.3">
      <c r="A32" s="79" t="s">
        <v>17</v>
      </c>
      <c r="B32" s="147">
        <f>SUM(B15+B29)</f>
        <v>1840</v>
      </c>
      <c r="C32" s="147">
        <f>SUM(C15+C29)</f>
        <v>29245</v>
      </c>
      <c r="D32" s="147">
        <f>SUM(D15+D29)</f>
        <v>12063</v>
      </c>
      <c r="E32" s="147">
        <f>SUM(E15+E29)</f>
        <v>0</v>
      </c>
      <c r="F32" s="147">
        <f>SUM(F15+F29)</f>
        <v>43148</v>
      </c>
      <c r="G32" s="162">
        <f>+F32-B32</f>
        <v>41308</v>
      </c>
      <c r="H32" s="147"/>
      <c r="I32" s="148"/>
      <c r="J32" s="143"/>
      <c r="K32" s="150"/>
      <c r="L32" s="151"/>
      <c r="M32" s="128"/>
    </row>
    <row r="33" spans="1:12" x14ac:dyDescent="0.3">
      <c r="A33" s="78" t="s">
        <v>18</v>
      </c>
      <c r="B33" s="152">
        <f>(B32/F32)</f>
        <v>4.2643923240938165E-2</v>
      </c>
      <c r="C33" s="152">
        <f>(C32/F32)</f>
        <v>0.67778344303328075</v>
      </c>
      <c r="D33" s="152">
        <f>(D32/F32)</f>
        <v>0.27957263372578101</v>
      </c>
      <c r="E33" s="152">
        <f>(E32/F32)</f>
        <v>0</v>
      </c>
      <c r="F33" s="147"/>
      <c r="L33" s="146"/>
    </row>
    <row r="34" spans="1:12" x14ac:dyDescent="0.3">
      <c r="A34" s="113"/>
      <c r="B34" s="78"/>
      <c r="C34" s="78"/>
      <c r="D34" s="78"/>
      <c r="E34" s="78"/>
      <c r="F34" s="79"/>
    </row>
    <row r="35" spans="1:12" x14ac:dyDescent="0.3">
      <c r="A35" s="126" t="s">
        <v>19</v>
      </c>
      <c r="B35" s="147">
        <f>(B32-(+B6+B7+B8))</f>
        <v>1825</v>
      </c>
      <c r="C35" s="147">
        <f>(C32-(+C6+C7+C8))</f>
        <v>28269</v>
      </c>
      <c r="D35" s="147">
        <f>(D32-(+D6+D7+D8))</f>
        <v>11690</v>
      </c>
      <c r="E35" s="147">
        <f>(E32-(+E6+E7+E8))</f>
        <v>0</v>
      </c>
      <c r="F35" s="147">
        <f>(F32-(F6+F7+F8))</f>
        <v>41784</v>
      </c>
      <c r="G35" s="162">
        <f>+F35-B35</f>
        <v>39959</v>
      </c>
      <c r="H35" s="147"/>
      <c r="I35" s="148"/>
    </row>
    <row r="36" spans="1:12" x14ac:dyDescent="0.3">
      <c r="A36" s="78" t="s">
        <v>18</v>
      </c>
      <c r="B36" s="152">
        <f>(B35/F35)</f>
        <v>4.3677005552364541E-2</v>
      </c>
      <c r="C36" s="152">
        <f>(C35/F35)</f>
        <v>0.67655083285468121</v>
      </c>
      <c r="D36" s="152">
        <f>(D35/F35)</f>
        <v>0.27977216159295426</v>
      </c>
      <c r="E36" s="152">
        <f>(E35/F35)</f>
        <v>0</v>
      </c>
      <c r="F36" s="79"/>
    </row>
    <row r="37" spans="1:12" x14ac:dyDescent="0.3">
      <c r="A37" s="113"/>
      <c r="B37" s="78"/>
      <c r="C37" s="78"/>
      <c r="D37" s="78"/>
      <c r="E37" s="78"/>
      <c r="F37" s="79"/>
    </row>
    <row r="38" spans="1:12" x14ac:dyDescent="0.3">
      <c r="A38" s="79" t="s">
        <v>20</v>
      </c>
      <c r="B38" s="147">
        <f>(B11+B21+B22+B23+B24+B25+B26+B12)</f>
        <v>351</v>
      </c>
      <c r="C38" s="147">
        <f>(C11+C21+C22+C23+C24+C25+C26+C12)</f>
        <v>1990</v>
      </c>
      <c r="D38" s="147">
        <f>(D11+D21+D22+D23+D24+D25+D26+D12)</f>
        <v>1392</v>
      </c>
      <c r="E38" s="147">
        <f>(E11+E21+E23+E24+E25+E26+E12+E22)</f>
        <v>0</v>
      </c>
      <c r="F38" s="147">
        <f>(F11+F21+F23+F24+F26+F25+F12+F22)</f>
        <v>3733</v>
      </c>
      <c r="G38" s="162">
        <f>+F38-B38</f>
        <v>3382</v>
      </c>
      <c r="H38" s="147"/>
      <c r="I38" s="148"/>
    </row>
    <row r="39" spans="1:12" x14ac:dyDescent="0.3">
      <c r="A39" s="78" t="s">
        <v>18</v>
      </c>
      <c r="B39" s="152">
        <f>(B38/F38)</f>
        <v>9.4026252343959282E-2</v>
      </c>
      <c r="C39" s="152">
        <f>(C38/F38)</f>
        <v>0.53308331100991158</v>
      </c>
      <c r="D39" s="152">
        <f>(D38/F38)</f>
        <v>0.37289043664612914</v>
      </c>
      <c r="E39" s="152">
        <f>(E38/F38)</f>
        <v>0</v>
      </c>
      <c r="F39" s="152"/>
      <c r="G39" s="152"/>
      <c r="H39" s="152"/>
      <c r="I39" s="153"/>
    </row>
    <row r="40" spans="1:12" s="154" customFormat="1" x14ac:dyDescent="0.3">
      <c r="B40" s="89"/>
      <c r="C40" s="89"/>
      <c r="D40" s="89"/>
      <c r="E40" s="89"/>
      <c r="F40" s="89"/>
      <c r="G40" s="89"/>
    </row>
    <row r="41" spans="1:12" x14ac:dyDescent="0.3">
      <c r="A41" s="78"/>
      <c r="B41" s="123"/>
      <c r="C41" s="123"/>
      <c r="D41" s="123"/>
      <c r="E41" s="123"/>
      <c r="F41" s="106"/>
      <c r="G41" s="89"/>
    </row>
    <row r="42" spans="1:12" x14ac:dyDescent="0.3">
      <c r="A42" s="78" t="s">
        <v>65</v>
      </c>
      <c r="B42" s="90"/>
      <c r="C42" s="90"/>
      <c r="D42" s="89"/>
      <c r="E42" s="89"/>
      <c r="F42" s="92">
        <f>'Hatchery-Wild Breakdown'!G44</f>
        <v>154.56326537657299</v>
      </c>
      <c r="G42" s="86"/>
      <c r="H42" s="147"/>
      <c r="I42" s="148"/>
    </row>
    <row r="43" spans="1:12" x14ac:dyDescent="0.3">
      <c r="A43" s="78" t="s">
        <v>66</v>
      </c>
      <c r="B43" s="90"/>
      <c r="C43" s="90"/>
      <c r="D43" s="89"/>
      <c r="E43" s="89"/>
      <c r="F43" s="92">
        <f>'Hatchery-Wild Breakdown'!H44</f>
        <v>53.68133417356421</v>
      </c>
      <c r="G43" s="89"/>
    </row>
    <row r="44" spans="1:12" x14ac:dyDescent="0.3">
      <c r="A44" s="77" t="s">
        <v>67</v>
      </c>
      <c r="B44" s="89"/>
      <c r="C44" s="89"/>
      <c r="D44" s="89"/>
      <c r="E44" s="89"/>
      <c r="F44" s="167">
        <f>F38+F42+F43</f>
        <v>3941.2445995501371</v>
      </c>
      <c r="G44" s="86"/>
      <c r="H44" s="147"/>
      <c r="I44" s="148"/>
    </row>
    <row r="45" spans="1:12" x14ac:dyDescent="0.3">
      <c r="B45" s="89"/>
      <c r="C45" s="89"/>
      <c r="D45" s="89"/>
      <c r="E45" s="89"/>
      <c r="F45" s="89"/>
      <c r="G45" s="89"/>
    </row>
    <row r="46" spans="1:12" x14ac:dyDescent="0.3">
      <c r="A46" s="113"/>
      <c r="B46" s="90"/>
      <c r="C46" s="90"/>
      <c r="D46" s="90"/>
      <c r="E46" s="90"/>
      <c r="F46" s="90"/>
      <c r="G46" s="89"/>
    </row>
    <row r="47" spans="1:12" x14ac:dyDescent="0.3">
      <c r="A47" s="81" t="s">
        <v>22</v>
      </c>
      <c r="B47" s="109"/>
      <c r="C47" s="109"/>
      <c r="D47" s="109"/>
      <c r="E47" s="109"/>
      <c r="F47" s="109"/>
      <c r="G47" s="142"/>
    </row>
    <row r="48" spans="1:12" x14ac:dyDescent="0.3">
      <c r="A48" s="78" t="s">
        <v>7</v>
      </c>
      <c r="B48" s="120">
        <f>Worksheet!B47</f>
        <v>0</v>
      </c>
      <c r="C48" s="120">
        <f>Worksheet!C47</f>
        <v>0.56489999999999996</v>
      </c>
      <c r="D48" s="120">
        <f>Worksheet!D47</f>
        <v>0.43509999999999999</v>
      </c>
      <c r="E48" s="120">
        <f>Worksheet!E47</f>
        <v>0</v>
      </c>
      <c r="F48" s="120">
        <f t="shared" ref="F48:F50" si="2">SUM(B48:E48)</f>
        <v>1</v>
      </c>
      <c r="G48" s="89"/>
    </row>
    <row r="49" spans="1:9" x14ac:dyDescent="0.3">
      <c r="A49" s="78" t="s">
        <v>8</v>
      </c>
      <c r="B49" s="120">
        <f>Worksheet!B48</f>
        <v>1.38E-2</v>
      </c>
      <c r="C49" s="120">
        <f>Worksheet!C48</f>
        <v>0.75180000000000002</v>
      </c>
      <c r="D49" s="120">
        <f>Worksheet!D48</f>
        <v>0.2344</v>
      </c>
      <c r="E49" s="120">
        <f>Worksheet!E48</f>
        <v>0</v>
      </c>
      <c r="F49" s="120">
        <f t="shared" si="2"/>
        <v>1</v>
      </c>
      <c r="G49" s="89"/>
    </row>
    <row r="50" spans="1:9" x14ac:dyDescent="0.3">
      <c r="A50" s="78" t="s">
        <v>23</v>
      </c>
      <c r="B50" s="120">
        <f>Worksheet!B49</f>
        <v>0</v>
      </c>
      <c r="C50" s="120">
        <f>Worksheet!C49</f>
        <v>0.71430000000000005</v>
      </c>
      <c r="D50" s="120">
        <f>Worksheet!D49</f>
        <v>0.28570000000000001</v>
      </c>
      <c r="E50" s="120">
        <f>Worksheet!E49</f>
        <v>0</v>
      </c>
      <c r="F50" s="120">
        <f t="shared" si="2"/>
        <v>1</v>
      </c>
      <c r="G50" s="89"/>
    </row>
    <row r="51" spans="1:9" x14ac:dyDescent="0.3">
      <c r="A51" s="78" t="s">
        <v>57</v>
      </c>
      <c r="B51" s="120">
        <f>Worksheet!B50</f>
        <v>1.18E-2</v>
      </c>
      <c r="C51" s="120">
        <f>Worksheet!C50</f>
        <v>0.71</v>
      </c>
      <c r="D51" s="120">
        <f>Worksheet!D50</f>
        <v>0.2782</v>
      </c>
      <c r="E51" s="120">
        <f>Worksheet!E50</f>
        <v>0</v>
      </c>
      <c r="F51" s="120">
        <f>SUM(B51:E51)</f>
        <v>1</v>
      </c>
      <c r="G51" s="89"/>
    </row>
    <row r="52" spans="1:9" x14ac:dyDescent="0.3">
      <c r="A52" s="78" t="s">
        <v>37</v>
      </c>
      <c r="B52" s="120">
        <f>Worksheet!B51</f>
        <v>1.18E-2</v>
      </c>
      <c r="C52" s="120">
        <f>Worksheet!C51</f>
        <v>0.71</v>
      </c>
      <c r="D52" s="120">
        <f>Worksheet!D51</f>
        <v>0.2782</v>
      </c>
      <c r="E52" s="120">
        <f>Worksheet!E51</f>
        <v>0</v>
      </c>
      <c r="F52" s="120">
        <f>SUM(B52:E52)</f>
        <v>1</v>
      </c>
      <c r="G52" s="89"/>
    </row>
    <row r="53" spans="1:9" x14ac:dyDescent="0.3">
      <c r="A53" s="78" t="s">
        <v>38</v>
      </c>
      <c r="B53" s="120">
        <f>Worksheet!B52</f>
        <v>0.12889999999999999</v>
      </c>
      <c r="C53" s="120">
        <f>Worksheet!C52</f>
        <v>0.51239999999999997</v>
      </c>
      <c r="D53" s="120">
        <f>Worksheet!D52</f>
        <v>0.35870000000000002</v>
      </c>
      <c r="E53" s="120">
        <f>Worksheet!E52</f>
        <v>0</v>
      </c>
      <c r="F53" s="120">
        <f t="shared" ref="F53:F55" si="3">SUM(B53:E53)</f>
        <v>1</v>
      </c>
      <c r="G53" s="89"/>
      <c r="I53" s="77"/>
    </row>
    <row r="54" spans="1:9" x14ac:dyDescent="0.3">
      <c r="A54" s="78" t="s">
        <v>39</v>
      </c>
      <c r="B54" s="120">
        <f>Worksheet!B53</f>
        <v>0.12889999999999999</v>
      </c>
      <c r="C54" s="120">
        <f>Worksheet!C53</f>
        <v>0.51239999999999997</v>
      </c>
      <c r="D54" s="120">
        <f>Worksheet!D53</f>
        <v>0.35870000000000002</v>
      </c>
      <c r="E54" s="120">
        <f>Worksheet!E53</f>
        <v>0</v>
      </c>
      <c r="F54" s="120">
        <f t="shared" si="3"/>
        <v>1</v>
      </c>
      <c r="G54" s="89"/>
    </row>
    <row r="55" spans="1:9" x14ac:dyDescent="0.3">
      <c r="A55" s="78" t="s">
        <v>59</v>
      </c>
      <c r="B55" s="120">
        <f>Worksheet!B54</f>
        <v>1.18E-2</v>
      </c>
      <c r="C55" s="120">
        <f>Worksheet!C54</f>
        <v>0.71</v>
      </c>
      <c r="D55" s="120">
        <f>Worksheet!D54</f>
        <v>0.2782</v>
      </c>
      <c r="E55" s="120">
        <f>Worksheet!E54</f>
        <v>0</v>
      </c>
      <c r="F55" s="120">
        <f t="shared" si="3"/>
        <v>1</v>
      </c>
      <c r="G55" s="89"/>
    </row>
    <row r="56" spans="1:9" x14ac:dyDescent="0.3">
      <c r="A56" s="78" t="s">
        <v>40</v>
      </c>
      <c r="B56" s="120">
        <f>Worksheet!B55</f>
        <v>4.5900000000000003E-2</v>
      </c>
      <c r="C56" s="120">
        <f>Worksheet!C55</f>
        <v>0.6855</v>
      </c>
      <c r="D56" s="120">
        <f>Worksheet!D55</f>
        <v>0.26860000000000001</v>
      </c>
      <c r="E56" s="120">
        <f>Worksheet!E55</f>
        <v>0</v>
      </c>
      <c r="F56" s="120">
        <f>SUM(B56:E56)</f>
        <v>1</v>
      </c>
      <c r="G56" s="89"/>
    </row>
    <row r="57" spans="1:9" x14ac:dyDescent="0.3">
      <c r="A57" s="78" t="s">
        <v>41</v>
      </c>
      <c r="B57" s="120">
        <f>Worksheet!B56</f>
        <v>1.18E-2</v>
      </c>
      <c r="C57" s="120">
        <f>Worksheet!C56</f>
        <v>0.71</v>
      </c>
      <c r="D57" s="120">
        <f>Worksheet!D56</f>
        <v>0.2782</v>
      </c>
      <c r="E57" s="120">
        <f>Worksheet!E56</f>
        <v>0</v>
      </c>
      <c r="F57" s="120">
        <f>SUM(B57:E57)</f>
        <v>1</v>
      </c>
      <c r="G57" s="89"/>
    </row>
    <row r="58" spans="1:9" x14ac:dyDescent="0.3">
      <c r="A58" s="78" t="s">
        <v>33</v>
      </c>
      <c r="B58" s="120">
        <f>Worksheet!B57</f>
        <v>0.3019</v>
      </c>
      <c r="C58" s="120">
        <f>Worksheet!C57</f>
        <v>0.41060000000000002</v>
      </c>
      <c r="D58" s="120">
        <f>Worksheet!D57</f>
        <v>0.28749999999999998</v>
      </c>
      <c r="E58" s="120">
        <f>Worksheet!E57</f>
        <v>0</v>
      </c>
      <c r="F58" s="120">
        <f t="shared" ref="F58:F63" si="4">SUM(B58:E58)</f>
        <v>1</v>
      </c>
      <c r="G58" s="89"/>
    </row>
    <row r="59" spans="1:9" ht="15" x14ac:dyDescent="0.3">
      <c r="A59" s="78" t="s">
        <v>92</v>
      </c>
      <c r="B59" s="120">
        <f>Worksheet!B58</f>
        <v>8.3299999999999999E-2</v>
      </c>
      <c r="C59" s="120">
        <f>Worksheet!C58</f>
        <v>0.53920000000000001</v>
      </c>
      <c r="D59" s="120">
        <f>Worksheet!D58</f>
        <v>0.3775</v>
      </c>
      <c r="E59" s="120">
        <f>Worksheet!E58</f>
        <v>0</v>
      </c>
      <c r="F59" s="120">
        <f t="shared" si="4"/>
        <v>1</v>
      </c>
      <c r="G59" s="89"/>
    </row>
    <row r="60" spans="1:9" x14ac:dyDescent="0.3">
      <c r="A60" s="78" t="s">
        <v>42</v>
      </c>
      <c r="B60" s="120">
        <f>Worksheet!B59</f>
        <v>0</v>
      </c>
      <c r="C60" s="120">
        <f>Worksheet!C59</f>
        <v>0.58819999999999995</v>
      </c>
      <c r="D60" s="120">
        <f>Worksheet!D59</f>
        <v>0.4118</v>
      </c>
      <c r="E60" s="120">
        <f>Worksheet!E59</f>
        <v>0</v>
      </c>
      <c r="F60" s="120">
        <f t="shared" si="4"/>
        <v>1</v>
      </c>
      <c r="G60" s="89"/>
    </row>
    <row r="61" spans="1:9" x14ac:dyDescent="0.3">
      <c r="A61" s="78" t="s">
        <v>43</v>
      </c>
      <c r="B61" s="120">
        <f>Worksheet!B60</f>
        <v>6.2700000000000006E-2</v>
      </c>
      <c r="C61" s="120">
        <f>Worksheet!C60</f>
        <v>0.5514</v>
      </c>
      <c r="D61" s="120">
        <f>Worksheet!D60</f>
        <v>0.38590000000000002</v>
      </c>
      <c r="E61" s="120">
        <f>Worksheet!E60</f>
        <v>0</v>
      </c>
      <c r="F61" s="120">
        <f t="shared" si="4"/>
        <v>1</v>
      </c>
      <c r="G61" s="89"/>
    </row>
    <row r="62" spans="1:9" ht="15" x14ac:dyDescent="0.3">
      <c r="A62" s="78" t="s">
        <v>93</v>
      </c>
      <c r="B62" s="120">
        <f>Worksheet!B61</f>
        <v>6.2700000000000006E-2</v>
      </c>
      <c r="C62" s="120">
        <f>Worksheet!C61</f>
        <v>0.5514</v>
      </c>
      <c r="D62" s="120">
        <f>Worksheet!D61</f>
        <v>0.38590000000000002</v>
      </c>
      <c r="E62" s="120">
        <f>Worksheet!E61</f>
        <v>0</v>
      </c>
      <c r="F62" s="120">
        <f t="shared" si="4"/>
        <v>1</v>
      </c>
      <c r="G62" s="89"/>
    </row>
    <row r="63" spans="1:9" x14ac:dyDescent="0.3">
      <c r="A63" s="78" t="s">
        <v>44</v>
      </c>
      <c r="B63" s="120">
        <f>Worksheet!B62</f>
        <v>0.12889999999999999</v>
      </c>
      <c r="C63" s="120">
        <f>Worksheet!C62</f>
        <v>0.51239999999999997</v>
      </c>
      <c r="D63" s="120">
        <f>Worksheet!D62</f>
        <v>0.35870000000000002</v>
      </c>
      <c r="E63" s="120">
        <f>Worksheet!E62</f>
        <v>0</v>
      </c>
      <c r="F63" s="120">
        <f t="shared" si="4"/>
        <v>1</v>
      </c>
      <c r="G63" s="89"/>
    </row>
    <row r="64" spans="1:9" x14ac:dyDescent="0.3">
      <c r="A64" s="113" t="s">
        <v>45</v>
      </c>
      <c r="B64" s="120">
        <f>Worksheet!B63</f>
        <v>1.18E-2</v>
      </c>
      <c r="C64" s="120">
        <f>Worksheet!C63</f>
        <v>0.71</v>
      </c>
      <c r="D64" s="120">
        <f>Worksheet!D63</f>
        <v>0.2782</v>
      </c>
      <c r="E64" s="120">
        <f>Worksheet!E63</f>
        <v>0</v>
      </c>
      <c r="F64" s="120">
        <f>SUM(B64:E64)</f>
        <v>1</v>
      </c>
      <c r="G64" s="89"/>
    </row>
    <row r="65" spans="1:6" x14ac:dyDescent="0.3">
      <c r="A65" s="113"/>
      <c r="B65" s="95"/>
      <c r="C65" s="95"/>
      <c r="D65" s="95"/>
      <c r="E65" s="129"/>
      <c r="F65" s="120"/>
    </row>
    <row r="67" spans="1:6" ht="15" x14ac:dyDescent="0.3">
      <c r="A67" s="155"/>
      <c r="B67" s="78"/>
      <c r="C67" s="78"/>
      <c r="D67" s="78"/>
      <c r="E67" s="78"/>
      <c r="F67" s="78"/>
    </row>
    <row r="68" spans="1:6" ht="15" x14ac:dyDescent="0.3">
      <c r="A68" s="155"/>
      <c r="B68" s="78"/>
      <c r="C68" s="78"/>
      <c r="D68" s="78"/>
      <c r="E68" s="120"/>
      <c r="F68" s="78"/>
    </row>
    <row r="69" spans="1:6" ht="15" x14ac:dyDescent="0.3">
      <c r="A69" s="155"/>
      <c r="B69" s="78"/>
      <c r="C69" s="78"/>
      <c r="D69" s="78"/>
      <c r="E69" s="78"/>
      <c r="F69" s="78"/>
    </row>
    <row r="70" spans="1:6" ht="15" x14ac:dyDescent="0.3">
      <c r="A70" s="155"/>
      <c r="B70" s="78"/>
      <c r="C70" s="78"/>
      <c r="D70" s="78"/>
      <c r="E70" s="78"/>
      <c r="F70" s="78"/>
    </row>
    <row r="71" spans="1:6" ht="15" x14ac:dyDescent="0.3">
      <c r="A71" s="155"/>
      <c r="B71" s="78"/>
      <c r="C71" s="78"/>
      <c r="D71" s="78"/>
      <c r="E71" s="78"/>
      <c r="F71" s="78"/>
    </row>
    <row r="72" spans="1:6" ht="15" x14ac:dyDescent="0.3">
      <c r="A72" s="155"/>
      <c r="B72" s="78"/>
      <c r="C72" s="78"/>
      <c r="D72" s="78"/>
      <c r="E72" s="78"/>
      <c r="F72" s="78"/>
    </row>
    <row r="73" spans="1:6" ht="15" x14ac:dyDescent="0.3">
      <c r="A73" s="155"/>
    </row>
    <row r="74" spans="1:6" x14ac:dyDescent="0.3">
      <c r="A74" s="78"/>
      <c r="B74" s="78"/>
      <c r="C74" s="78"/>
      <c r="D74" s="78"/>
      <c r="E74" s="78"/>
      <c r="F74" s="78"/>
    </row>
    <row r="75" spans="1:6" x14ac:dyDescent="0.3">
      <c r="A75" s="78"/>
      <c r="B75" s="78"/>
      <c r="C75" s="78"/>
      <c r="D75" s="78"/>
      <c r="E75" s="78"/>
      <c r="F75" s="78"/>
    </row>
    <row r="82" spans="1:6" x14ac:dyDescent="0.3">
      <c r="A82" s="93"/>
      <c r="B82" s="175"/>
      <c r="C82" s="175"/>
      <c r="D82" s="93"/>
      <c r="E82" s="93"/>
      <c r="F82" s="131"/>
    </row>
    <row r="83" spans="1:6" x14ac:dyDescent="0.3">
      <c r="A83" s="93"/>
      <c r="B83" s="132"/>
      <c r="C83" s="132"/>
      <c r="D83" s="93"/>
      <c r="E83" s="93"/>
      <c r="F83" s="93"/>
    </row>
    <row r="84" spans="1:6" x14ac:dyDescent="0.3">
      <c r="A84" s="93"/>
      <c r="B84" s="132"/>
      <c r="C84" s="93"/>
      <c r="D84" s="93"/>
      <c r="E84" s="93"/>
      <c r="F84" s="93"/>
    </row>
    <row r="85" spans="1:6" x14ac:dyDescent="0.3">
      <c r="A85" s="93"/>
      <c r="B85" s="132"/>
      <c r="C85" s="93"/>
      <c r="D85" s="93"/>
      <c r="E85" s="93"/>
      <c r="F85" s="93"/>
    </row>
    <row r="86" spans="1:6" x14ac:dyDescent="0.3">
      <c r="A86" s="93"/>
      <c r="B86" s="132"/>
      <c r="C86" s="93"/>
      <c r="D86" s="93"/>
      <c r="E86" s="93"/>
      <c r="F86" s="93"/>
    </row>
    <row r="87" spans="1:6" x14ac:dyDescent="0.3">
      <c r="A87" s="93"/>
      <c r="B87" s="132"/>
      <c r="C87" s="93"/>
      <c r="D87" s="93"/>
      <c r="E87" s="93"/>
      <c r="F87" s="93"/>
    </row>
    <row r="88" spans="1:6" x14ac:dyDescent="0.3">
      <c r="A88" s="93"/>
      <c r="B88" s="132"/>
      <c r="C88" s="129"/>
      <c r="D88" s="93"/>
      <c r="E88" s="93"/>
      <c r="F88" s="93"/>
    </row>
    <row r="89" spans="1:6" x14ac:dyDescent="0.3">
      <c r="A89" s="93"/>
      <c r="B89" s="93"/>
      <c r="C89" s="93"/>
      <c r="D89" s="93"/>
      <c r="E89" s="93"/>
    </row>
    <row r="90" spans="1:6" x14ac:dyDescent="0.3">
      <c r="A90" s="93"/>
      <c r="B90" s="133"/>
      <c r="C90" s="133"/>
      <c r="D90" s="93"/>
      <c r="E90" s="93"/>
    </row>
    <row r="91" spans="1:6" x14ac:dyDescent="0.3">
      <c r="A91" s="93"/>
      <c r="B91" s="132"/>
      <c r="C91" s="132"/>
      <c r="D91" s="93"/>
      <c r="E91" s="93"/>
    </row>
    <row r="92" spans="1:6" x14ac:dyDescent="0.3">
      <c r="A92" s="93"/>
      <c r="B92" s="132"/>
      <c r="C92" s="129"/>
      <c r="D92" s="129"/>
      <c r="E92" s="93"/>
    </row>
    <row r="93" spans="1:6" x14ac:dyDescent="0.3">
      <c r="A93" s="93"/>
      <c r="B93" s="132"/>
      <c r="C93" s="129"/>
      <c r="D93" s="129"/>
      <c r="E93" s="93"/>
    </row>
    <row r="94" spans="1:6" x14ac:dyDescent="0.3">
      <c r="A94" s="93"/>
      <c r="B94" s="132"/>
      <c r="C94" s="129"/>
      <c r="D94" s="129"/>
      <c r="E94" s="93"/>
    </row>
    <row r="95" spans="1:6" x14ac:dyDescent="0.3">
      <c r="A95" s="93"/>
      <c r="B95" s="132"/>
      <c r="C95" s="129"/>
      <c r="D95" s="129"/>
      <c r="E95" s="93"/>
    </row>
    <row r="96" spans="1:6" x14ac:dyDescent="0.3">
      <c r="A96" s="93"/>
      <c r="B96" s="132"/>
      <c r="C96" s="129"/>
      <c r="D96" s="134"/>
      <c r="E96" s="93"/>
    </row>
    <row r="97" spans="1:6" x14ac:dyDescent="0.3">
      <c r="A97" s="93"/>
      <c r="B97" s="93"/>
      <c r="C97" s="93"/>
      <c r="D97" s="93"/>
      <c r="E97" s="93"/>
    </row>
    <row r="98" spans="1:6" x14ac:dyDescent="0.3">
      <c r="A98" s="93"/>
      <c r="B98" s="93"/>
      <c r="C98" s="93"/>
      <c r="D98" s="93"/>
      <c r="E98" s="93"/>
    </row>
    <row r="99" spans="1:6" x14ac:dyDescent="0.3">
      <c r="A99" s="93"/>
      <c r="B99" s="93"/>
      <c r="C99" s="93"/>
      <c r="D99" s="93"/>
      <c r="E99" s="93"/>
    </row>
    <row r="100" spans="1:6" x14ac:dyDescent="0.3">
      <c r="A100" s="93"/>
      <c r="B100" s="93"/>
      <c r="C100" s="93"/>
      <c r="D100" s="93"/>
      <c r="E100" s="93"/>
    </row>
    <row r="101" spans="1:6" x14ac:dyDescent="0.3">
      <c r="A101" s="93"/>
      <c r="B101" s="93"/>
      <c r="C101" s="93"/>
      <c r="D101" s="93"/>
      <c r="E101" s="93"/>
    </row>
    <row r="102" spans="1:6" x14ac:dyDescent="0.3">
      <c r="A102" s="93"/>
      <c r="B102" s="135"/>
      <c r="C102" s="135"/>
      <c r="D102" s="135"/>
      <c r="E102" s="93"/>
    </row>
    <row r="103" spans="1:6" x14ac:dyDescent="0.3">
      <c r="A103" s="93"/>
      <c r="B103" s="135"/>
      <c r="C103" s="135"/>
      <c r="D103" s="135"/>
      <c r="E103" s="93"/>
    </row>
    <row r="104" spans="1:6" x14ac:dyDescent="0.3">
      <c r="A104" s="93"/>
      <c r="B104" s="135"/>
      <c r="C104" s="135"/>
      <c r="D104" s="135"/>
      <c r="E104" s="93"/>
    </row>
    <row r="105" spans="1:6" x14ac:dyDescent="0.3">
      <c r="A105" s="93"/>
      <c r="B105" s="135"/>
      <c r="C105" s="135"/>
      <c r="D105" s="135"/>
      <c r="E105" s="93"/>
    </row>
    <row r="106" spans="1:6" x14ac:dyDescent="0.3">
      <c r="A106" s="93"/>
      <c r="B106" s="135"/>
      <c r="C106" s="135"/>
      <c r="D106" s="135"/>
      <c r="E106" s="93"/>
    </row>
    <row r="107" spans="1:6" x14ac:dyDescent="0.3">
      <c r="A107" s="93"/>
      <c r="B107" s="93"/>
      <c r="C107" s="93"/>
      <c r="D107" s="93"/>
      <c r="E107" s="93"/>
    </row>
    <row r="108" spans="1:6" x14ac:dyDescent="0.3">
      <c r="A108" s="93"/>
      <c r="B108" s="129"/>
      <c r="C108" s="129"/>
      <c r="D108" s="93"/>
      <c r="E108" s="93"/>
    </row>
    <row r="109" spans="1:6" x14ac:dyDescent="0.3">
      <c r="A109" s="93"/>
      <c r="B109" s="93"/>
      <c r="C109" s="93"/>
      <c r="D109" s="93"/>
      <c r="E109" s="93"/>
    </row>
    <row r="110" spans="1:6" x14ac:dyDescent="0.3">
      <c r="A110" s="93"/>
      <c r="B110" s="93"/>
      <c r="C110" s="93"/>
      <c r="D110" s="93"/>
      <c r="E110" s="93"/>
    </row>
    <row r="111" spans="1:6" x14ac:dyDescent="0.3">
      <c r="A111" s="93"/>
      <c r="B111" s="93"/>
      <c r="C111" s="93"/>
      <c r="D111" s="93"/>
      <c r="E111" s="93"/>
    </row>
    <row r="112" spans="1:6" x14ac:dyDescent="0.3">
      <c r="A112" s="93"/>
      <c r="B112" s="93"/>
      <c r="C112" s="93"/>
      <c r="D112" s="93"/>
      <c r="E112" s="93"/>
      <c r="F112" s="136"/>
    </row>
    <row r="113" spans="1:5" x14ac:dyDescent="0.3">
      <c r="A113" s="93"/>
      <c r="B113" s="135"/>
      <c r="C113" s="135"/>
      <c r="D113" s="93"/>
      <c r="E113" s="93"/>
    </row>
    <row r="114" spans="1:5" x14ac:dyDescent="0.3">
      <c r="A114" s="93"/>
      <c r="B114" s="135"/>
      <c r="C114" s="135"/>
      <c r="D114" s="93"/>
      <c r="E114" s="93"/>
    </row>
    <row r="115" spans="1:5" x14ac:dyDescent="0.3">
      <c r="A115" s="93"/>
      <c r="B115" s="135"/>
      <c r="C115" s="135"/>
      <c r="D115" s="93"/>
      <c r="E115" s="93"/>
    </row>
    <row r="116" spans="1:5" x14ac:dyDescent="0.3">
      <c r="A116" s="93"/>
      <c r="B116" s="135"/>
      <c r="C116" s="135"/>
      <c r="D116" s="93"/>
      <c r="E116" s="93"/>
    </row>
    <row r="117" spans="1:5" x14ac:dyDescent="0.3">
      <c r="A117" s="93"/>
      <c r="B117" s="135"/>
      <c r="C117" s="135"/>
      <c r="D117" s="93"/>
      <c r="E117" s="93"/>
    </row>
    <row r="118" spans="1:5" x14ac:dyDescent="0.3">
      <c r="A118" s="93"/>
      <c r="B118" s="93"/>
      <c r="C118" s="93"/>
      <c r="D118" s="93"/>
      <c r="E118" s="93"/>
    </row>
    <row r="119" spans="1:5" x14ac:dyDescent="0.3">
      <c r="A119" s="93"/>
      <c r="B119" s="129"/>
      <c r="C119" s="129"/>
      <c r="D119" s="93"/>
      <c r="E119" s="93"/>
    </row>
    <row r="120" spans="1:5" x14ac:dyDescent="0.3">
      <c r="A120" s="93"/>
      <c r="B120" s="93"/>
      <c r="C120" s="93"/>
      <c r="D120" s="93"/>
      <c r="E120" s="93"/>
    </row>
    <row r="121" spans="1:5" x14ac:dyDescent="0.3">
      <c r="A121" s="93"/>
      <c r="B121" s="93"/>
      <c r="C121" s="93"/>
      <c r="D121" s="93"/>
      <c r="E121" s="93"/>
    </row>
  </sheetData>
  <mergeCells count="1">
    <mergeCell ref="B82:C82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59"/>
  <sheetViews>
    <sheetView zoomScaleNormal="100" workbookViewId="0">
      <pane ySplit="5" topLeftCell="A27" activePane="bottomLeft" state="frozen"/>
      <selection activeCell="J25" sqref="J25"/>
      <selection pane="bottomLeft" activeCell="F35" sqref="F35"/>
    </sheetView>
  </sheetViews>
  <sheetFormatPr defaultColWidth="16.33203125" defaultRowHeight="13.8" x14ac:dyDescent="0.3"/>
  <cols>
    <col min="1" max="1" width="45" style="1" customWidth="1"/>
    <col min="2" max="6" width="10.109375" style="1" customWidth="1"/>
    <col min="7" max="7" width="16.33203125" style="1" customWidth="1"/>
    <col min="8" max="8" width="13" style="1" customWidth="1"/>
    <col min="9" max="9" width="14" style="1" customWidth="1"/>
    <col min="10" max="16384" width="16.33203125" style="1"/>
  </cols>
  <sheetData>
    <row r="1" spans="1:23" s="10" customFormat="1" x14ac:dyDescent="0.3">
      <c r="A1" s="4" t="s">
        <v>104</v>
      </c>
      <c r="B1" s="5"/>
      <c r="C1" s="5"/>
      <c r="D1" s="5"/>
      <c r="E1" s="5"/>
      <c r="F1" s="6"/>
      <c r="G1" s="6"/>
      <c r="H1" s="6"/>
      <c r="I1" s="6"/>
      <c r="J1" s="6"/>
      <c r="K1" s="7"/>
      <c r="L1" s="8"/>
      <c r="M1" s="9"/>
      <c r="N1" s="9"/>
    </row>
    <row r="2" spans="1:23" s="10" customFormat="1" x14ac:dyDescent="0.3">
      <c r="A2" s="4"/>
      <c r="B2" s="5"/>
      <c r="C2" s="5"/>
      <c r="D2" s="5"/>
      <c r="E2" s="5"/>
      <c r="F2" s="6"/>
      <c r="G2" s="6"/>
      <c r="H2" s="6"/>
      <c r="I2" s="6"/>
      <c r="J2" s="6"/>
      <c r="K2" s="7"/>
      <c r="L2" s="8"/>
      <c r="M2" s="9"/>
      <c r="N2" s="9"/>
    </row>
    <row r="3" spans="1:23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7"/>
      <c r="L3" s="8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3">
      <c r="A4" s="13" t="s">
        <v>0</v>
      </c>
      <c r="B4" s="13">
        <v>2018</v>
      </c>
      <c r="C4" s="13">
        <v>2017</v>
      </c>
      <c r="D4" s="13">
        <v>2016</v>
      </c>
      <c r="E4" s="13">
        <v>2015</v>
      </c>
      <c r="F4" s="10"/>
      <c r="G4" s="10"/>
      <c r="H4" s="10"/>
      <c r="I4" s="10"/>
      <c r="J4" s="10"/>
      <c r="K4" s="10"/>
      <c r="L4" s="10"/>
      <c r="M4" s="14"/>
      <c r="N4" s="15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3">
      <c r="A5" s="16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8" t="s">
        <v>24</v>
      </c>
      <c r="H5" s="18" t="s">
        <v>25</v>
      </c>
      <c r="I5" s="19" t="s">
        <v>26</v>
      </c>
      <c r="J5" s="18"/>
      <c r="K5" s="10"/>
      <c r="L5" s="20"/>
      <c r="M5" s="21"/>
      <c r="N5" s="21"/>
      <c r="O5" s="13"/>
      <c r="P5" s="13"/>
      <c r="Q5" s="13"/>
      <c r="R5" s="10"/>
      <c r="S5" s="10"/>
      <c r="T5" s="10"/>
      <c r="U5" s="10"/>
      <c r="V5" s="10"/>
      <c r="W5" s="10"/>
    </row>
    <row r="6" spans="1:23" x14ac:dyDescent="0.3">
      <c r="A6" s="12" t="s">
        <v>51</v>
      </c>
      <c r="B6" s="22">
        <f t="shared" ref="B6:E9" si="0">ROUND($F6*B47,0)</f>
        <v>0</v>
      </c>
      <c r="C6" s="22">
        <f t="shared" si="0"/>
        <v>148</v>
      </c>
      <c r="D6" s="22">
        <f t="shared" si="0"/>
        <v>114</v>
      </c>
      <c r="E6" s="22">
        <f t="shared" si="0"/>
        <v>0</v>
      </c>
      <c r="F6" s="23">
        <v>262</v>
      </c>
      <c r="G6" s="24">
        <f>ROUND(SUM(B6:E6),0)</f>
        <v>262</v>
      </c>
      <c r="H6" s="25">
        <f>ROUND(F6-G6,0)</f>
        <v>0</v>
      </c>
      <c r="I6" s="24">
        <f>SUM(C6:E6)</f>
        <v>262</v>
      </c>
      <c r="J6" s="23"/>
      <c r="K6" s="24" t="s">
        <v>110</v>
      </c>
      <c r="L6" s="8"/>
      <c r="M6" s="12"/>
      <c r="N6" s="12"/>
      <c r="O6" s="26"/>
      <c r="P6" s="26"/>
      <c r="Q6" s="26"/>
      <c r="R6" s="12"/>
      <c r="S6" s="12"/>
      <c r="T6" s="10"/>
      <c r="U6" s="10"/>
      <c r="V6" s="10"/>
      <c r="W6" s="10"/>
    </row>
    <row r="7" spans="1:23" x14ac:dyDescent="0.3">
      <c r="A7" s="12" t="s">
        <v>8</v>
      </c>
      <c r="B7" s="22">
        <f t="shared" si="0"/>
        <v>15</v>
      </c>
      <c r="C7" s="22">
        <f t="shared" si="0"/>
        <v>818</v>
      </c>
      <c r="D7" s="22">
        <f t="shared" si="0"/>
        <v>255</v>
      </c>
      <c r="E7" s="22">
        <f t="shared" si="0"/>
        <v>0</v>
      </c>
      <c r="F7" s="27">
        <v>1088</v>
      </c>
      <c r="G7" s="24">
        <f>ROUND(SUM(B7:E7),0)</f>
        <v>1088</v>
      </c>
      <c r="H7" s="25">
        <f t="shared" ref="H7:H13" si="1">ROUND(F7-G7,0)</f>
        <v>0</v>
      </c>
      <c r="I7" s="24">
        <f>SUM(C7:E7)</f>
        <v>1073</v>
      </c>
      <c r="J7" s="23"/>
      <c r="K7" s="24" t="s">
        <v>103</v>
      </c>
      <c r="L7" s="28"/>
      <c r="M7" s="29"/>
      <c r="N7" s="29"/>
      <c r="O7" s="12"/>
      <c r="P7" s="12"/>
      <c r="Q7" s="12"/>
      <c r="R7" s="12"/>
      <c r="S7" s="12"/>
      <c r="T7" s="10"/>
      <c r="U7" s="10"/>
      <c r="V7" s="10"/>
      <c r="W7" s="10"/>
    </row>
    <row r="8" spans="1:23" x14ac:dyDescent="0.3">
      <c r="A8" s="12" t="s">
        <v>9</v>
      </c>
      <c r="B8" s="22">
        <f t="shared" si="0"/>
        <v>0</v>
      </c>
      <c r="C8" s="22">
        <f t="shared" si="0"/>
        <v>10</v>
      </c>
      <c r="D8" s="22">
        <f t="shared" si="0"/>
        <v>4</v>
      </c>
      <c r="E8" s="22">
        <f t="shared" si="0"/>
        <v>0</v>
      </c>
      <c r="F8" s="27">
        <v>14</v>
      </c>
      <c r="G8" s="24">
        <f>ROUND(SUM(B8:E8),0)</f>
        <v>14</v>
      </c>
      <c r="H8" s="25">
        <f t="shared" si="1"/>
        <v>0</v>
      </c>
      <c r="I8" s="24">
        <f t="shared" ref="I8" si="2">SUM(C8:E8)</f>
        <v>14</v>
      </c>
      <c r="J8" s="23"/>
      <c r="K8" s="24" t="s">
        <v>103</v>
      </c>
      <c r="L8" s="8"/>
      <c r="M8" s="26"/>
      <c r="N8" s="26"/>
      <c r="O8" s="29"/>
      <c r="P8" s="29"/>
      <c r="Q8" s="30"/>
      <c r="R8" s="12"/>
      <c r="S8" s="12"/>
      <c r="T8" s="10"/>
      <c r="U8" s="10"/>
      <c r="V8" s="10"/>
      <c r="W8" s="10"/>
    </row>
    <row r="9" spans="1:23" x14ac:dyDescent="0.3">
      <c r="A9" s="12" t="s">
        <v>10</v>
      </c>
      <c r="B9" s="22">
        <f t="shared" si="0"/>
        <v>75</v>
      </c>
      <c r="C9" s="22">
        <f t="shared" si="0"/>
        <v>4497</v>
      </c>
      <c r="D9" s="22">
        <f t="shared" si="0"/>
        <v>1762</v>
      </c>
      <c r="E9" s="22">
        <f t="shared" si="0"/>
        <v>0</v>
      </c>
      <c r="F9" s="27">
        <v>6334</v>
      </c>
      <c r="G9" s="24">
        <f>ROUND(SUM(B9:E9),0)</f>
        <v>6334</v>
      </c>
      <c r="H9" s="25">
        <f t="shared" si="1"/>
        <v>0</v>
      </c>
      <c r="I9" s="24">
        <f>SUM(C9:E9)</f>
        <v>6259</v>
      </c>
      <c r="J9" s="23"/>
      <c r="K9" s="24" t="s">
        <v>27</v>
      </c>
      <c r="L9" s="10"/>
      <c r="M9" s="10"/>
      <c r="N9" s="21"/>
      <c r="O9" s="21"/>
      <c r="P9" s="21"/>
      <c r="Q9" s="21"/>
      <c r="R9" s="10"/>
      <c r="S9" s="10"/>
      <c r="T9" s="10"/>
      <c r="U9" s="10"/>
      <c r="V9" s="10"/>
      <c r="W9" s="10"/>
    </row>
    <row r="10" spans="1:23" x14ac:dyDescent="0.3">
      <c r="A10" s="12" t="s">
        <v>30</v>
      </c>
      <c r="B10" s="22">
        <f>ROUND($F10*B51,0)</f>
        <v>2</v>
      </c>
      <c r="C10" s="22">
        <f>ROUND($F10*C51,0)-1</f>
        <v>98</v>
      </c>
      <c r="D10" s="22">
        <f t="shared" ref="D10:E13" si="3">ROUND($F10*D51,0)</f>
        <v>39</v>
      </c>
      <c r="E10" s="22">
        <f t="shared" si="3"/>
        <v>0</v>
      </c>
      <c r="F10" s="27">
        <f>ROUND(1141*0.122,0)</f>
        <v>139</v>
      </c>
      <c r="G10" s="24">
        <f>ROUND(SUM(B10:E10),0)</f>
        <v>139</v>
      </c>
      <c r="H10" s="25">
        <f t="shared" si="1"/>
        <v>0</v>
      </c>
      <c r="I10" s="24">
        <f>SUM(C10:E10)</f>
        <v>137</v>
      </c>
      <c r="J10" s="23"/>
      <c r="K10" s="24" t="s">
        <v>53</v>
      </c>
      <c r="L10" s="8"/>
      <c r="M10" s="21"/>
      <c r="N10" s="21"/>
      <c r="O10" s="21"/>
      <c r="P10" s="21"/>
      <c r="Q10" s="21"/>
      <c r="R10" s="10"/>
      <c r="S10" s="10"/>
      <c r="T10" s="10"/>
      <c r="U10" s="10"/>
      <c r="V10" s="10"/>
      <c r="W10" s="10"/>
    </row>
    <row r="11" spans="1:23" x14ac:dyDescent="0.3">
      <c r="A11" s="12" t="s">
        <v>11</v>
      </c>
      <c r="B11" s="22">
        <f>ROUND($F11*B52,0)</f>
        <v>1</v>
      </c>
      <c r="C11" s="22">
        <f>ROUND($F11*C52,0)-1</f>
        <v>2</v>
      </c>
      <c r="D11" s="22">
        <f t="shared" si="3"/>
        <v>2</v>
      </c>
      <c r="E11" s="22">
        <f t="shared" si="3"/>
        <v>0</v>
      </c>
      <c r="F11" s="27">
        <v>5</v>
      </c>
      <c r="G11" s="24">
        <f t="shared" ref="G11:G13" si="4">ROUND(SUM(B11:E11),0)</f>
        <v>5</v>
      </c>
      <c r="H11" s="25">
        <f t="shared" si="1"/>
        <v>0</v>
      </c>
      <c r="I11" s="24">
        <f>SUM(C11:E11)</f>
        <v>4</v>
      </c>
      <c r="J11" s="23"/>
      <c r="K11" s="24" t="s">
        <v>27</v>
      </c>
      <c r="L11" s="8"/>
      <c r="M11" s="21"/>
      <c r="N11" s="21"/>
      <c r="O11" s="21"/>
      <c r="P11" s="21"/>
      <c r="Q11" s="21"/>
      <c r="R11" s="10"/>
      <c r="S11" s="10"/>
      <c r="T11" s="10"/>
      <c r="U11" s="10"/>
      <c r="V11" s="10"/>
      <c r="W11" s="10"/>
    </row>
    <row r="12" spans="1:23" x14ac:dyDescent="0.3">
      <c r="A12" s="12" t="s">
        <v>31</v>
      </c>
      <c r="B12" s="22">
        <f>ROUND($F12*B53,0)</f>
        <v>0</v>
      </c>
      <c r="C12" s="22">
        <f>ROUND($F12*C53,0)</f>
        <v>1</v>
      </c>
      <c r="D12" s="22">
        <f t="shared" si="3"/>
        <v>0</v>
      </c>
      <c r="E12" s="22">
        <f t="shared" si="3"/>
        <v>0</v>
      </c>
      <c r="F12" s="27">
        <f>ROUND(12*0.122,0)</f>
        <v>1</v>
      </c>
      <c r="G12" s="24">
        <f>ROUND(SUM(B12:E12),0)</f>
        <v>1</v>
      </c>
      <c r="H12" s="25">
        <f t="shared" si="1"/>
        <v>0</v>
      </c>
      <c r="I12" s="24">
        <f>SUM(C12:E12)</f>
        <v>1</v>
      </c>
      <c r="J12" s="23"/>
      <c r="K12" s="24" t="s">
        <v>53</v>
      </c>
      <c r="L12" s="8"/>
      <c r="M12" s="21"/>
      <c r="N12" s="9"/>
      <c r="O12" s="21"/>
      <c r="P12" s="21"/>
      <c r="Q12" s="21"/>
      <c r="R12" s="10"/>
      <c r="S12" s="10"/>
      <c r="T12" s="10"/>
      <c r="U12" s="10"/>
      <c r="V12" s="10"/>
      <c r="W12" s="10"/>
    </row>
    <row r="13" spans="1:23" x14ac:dyDescent="0.3">
      <c r="A13" s="10" t="s">
        <v>55</v>
      </c>
      <c r="B13" s="22">
        <f>ROUND($F13*B54,0)</f>
        <v>0</v>
      </c>
      <c r="C13" s="22">
        <f>ROUND($F13*C54,0)</f>
        <v>0</v>
      </c>
      <c r="D13" s="22">
        <f t="shared" si="3"/>
        <v>0</v>
      </c>
      <c r="E13" s="22">
        <f t="shared" si="3"/>
        <v>0</v>
      </c>
      <c r="F13" s="27">
        <v>0</v>
      </c>
      <c r="G13" s="24">
        <f t="shared" si="4"/>
        <v>0</v>
      </c>
      <c r="H13" s="25">
        <f t="shared" si="1"/>
        <v>0</v>
      </c>
      <c r="I13" s="24">
        <f>SUM(C13:E13)</f>
        <v>0</v>
      </c>
      <c r="J13" s="23"/>
      <c r="K13" s="2" t="s">
        <v>52</v>
      </c>
      <c r="L13" s="8"/>
      <c r="M13" s="21"/>
      <c r="N13" s="9"/>
      <c r="O13" s="21"/>
      <c r="P13" s="21"/>
      <c r="Q13" s="21"/>
      <c r="R13" s="10"/>
      <c r="S13" s="10"/>
      <c r="T13" s="10"/>
      <c r="U13" s="10"/>
      <c r="V13" s="10"/>
      <c r="W13" s="10"/>
    </row>
    <row r="14" spans="1:23" ht="14.4" thickBot="1" x14ac:dyDescent="0.35">
      <c r="A14" s="12"/>
      <c r="B14" s="60"/>
      <c r="C14" s="60"/>
      <c r="D14" s="60"/>
      <c r="E14" s="61"/>
      <c r="F14" s="62"/>
      <c r="G14" s="58"/>
      <c r="H14" s="59"/>
      <c r="I14" s="58"/>
      <c r="J14" s="23"/>
      <c r="K14" s="24"/>
      <c r="L14" s="8"/>
      <c r="M14" s="9"/>
      <c r="N14" s="15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4.4" thickTop="1" x14ac:dyDescent="0.3">
      <c r="A15" s="31" t="s">
        <v>12</v>
      </c>
      <c r="B15" s="156">
        <f>SUM(B6:B13)</f>
        <v>93</v>
      </c>
      <c r="C15" s="156">
        <f>SUM(C6:C13)</f>
        <v>5574</v>
      </c>
      <c r="D15" s="156">
        <f>SUM(D6:D13)</f>
        <v>2176</v>
      </c>
      <c r="E15" s="156">
        <f>SUM(E6:E13)</f>
        <v>0</v>
      </c>
      <c r="F15" s="27">
        <f>SUM(F6:F13)</f>
        <v>7843</v>
      </c>
      <c r="G15" s="24">
        <f>SUM(B15:E15)</f>
        <v>7843</v>
      </c>
      <c r="H15" s="25">
        <f>F15-G15</f>
        <v>0</v>
      </c>
      <c r="I15" s="24">
        <f>SUM(C15:E15)</f>
        <v>7750</v>
      </c>
      <c r="J15" s="23"/>
      <c r="K15" s="24"/>
      <c r="L15" s="32"/>
      <c r="M15" s="10"/>
      <c r="N15" s="10"/>
      <c r="O15" s="13"/>
      <c r="P15" s="13"/>
      <c r="Q15" s="13"/>
      <c r="R15" s="10"/>
      <c r="S15" s="10"/>
      <c r="T15" s="10"/>
      <c r="U15" s="10"/>
      <c r="V15" s="10"/>
      <c r="W15" s="10"/>
    </row>
    <row r="16" spans="1:23" x14ac:dyDescent="0.3">
      <c r="A16" s="10"/>
      <c r="B16" s="63"/>
      <c r="C16" s="63"/>
      <c r="D16" s="63"/>
      <c r="E16" s="63"/>
      <c r="F16" s="64"/>
      <c r="G16" s="63"/>
      <c r="H16" s="65"/>
      <c r="I16" s="65"/>
      <c r="J16" s="18"/>
      <c r="K16" s="24"/>
      <c r="L16" s="8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s="12"/>
      <c r="B17" s="60"/>
      <c r="C17" s="60"/>
      <c r="D17" s="60" t="s">
        <v>13</v>
      </c>
      <c r="E17" s="60"/>
      <c r="F17" s="66"/>
      <c r="G17" s="58"/>
      <c r="H17" s="67"/>
      <c r="I17" s="67"/>
      <c r="J17" s="8"/>
      <c r="K17" s="24"/>
      <c r="L17" s="20"/>
      <c r="M17" s="15"/>
      <c r="N17" s="15"/>
      <c r="O17" s="13"/>
      <c r="P17" s="13"/>
      <c r="Q17" s="13"/>
      <c r="R17" s="10"/>
      <c r="S17" s="10"/>
      <c r="T17" s="10"/>
      <c r="U17" s="10"/>
      <c r="V17" s="10"/>
      <c r="W17" s="10"/>
    </row>
    <row r="18" spans="1:23" x14ac:dyDescent="0.3">
      <c r="A18" s="16" t="s">
        <v>14</v>
      </c>
      <c r="B18" s="68"/>
      <c r="C18" s="68"/>
      <c r="D18" s="68"/>
      <c r="E18" s="68"/>
      <c r="F18" s="68"/>
      <c r="G18" s="8" t="s">
        <v>24</v>
      </c>
      <c r="H18" s="18" t="s">
        <v>25</v>
      </c>
      <c r="I18" s="19" t="s">
        <v>26</v>
      </c>
      <c r="J18" s="18"/>
      <c r="K18" s="24"/>
      <c r="L18" s="8"/>
      <c r="M18" s="33"/>
      <c r="N18" s="21"/>
      <c r="O18" s="21"/>
      <c r="P18" s="21"/>
      <c r="Q18" s="34"/>
      <c r="R18" s="10"/>
      <c r="S18" s="10"/>
      <c r="T18" s="10"/>
      <c r="U18" s="10"/>
      <c r="V18" s="10"/>
      <c r="W18" s="10"/>
    </row>
    <row r="19" spans="1:23" x14ac:dyDescent="0.3">
      <c r="A19" s="12" t="s">
        <v>32</v>
      </c>
      <c r="B19" s="22">
        <v>1379</v>
      </c>
      <c r="C19" s="22">
        <f>ROUND($F19*C55,0)-1</f>
        <v>20581</v>
      </c>
      <c r="D19" s="22">
        <f t="shared" ref="D19:E27" si="5">ROUND($F19*D55,0)</f>
        <v>8065</v>
      </c>
      <c r="E19" s="22">
        <f t="shared" si="5"/>
        <v>0</v>
      </c>
      <c r="F19" s="27">
        <f>28646+1379</f>
        <v>30025</v>
      </c>
      <c r="G19" s="24">
        <f>SUM(B19:E19)</f>
        <v>30025</v>
      </c>
      <c r="H19" s="25">
        <f>F19-G19</f>
        <v>0</v>
      </c>
      <c r="I19" s="24">
        <f t="shared" ref="I19:I26" si="6">SUM(C19:E19)</f>
        <v>28646</v>
      </c>
      <c r="J19" s="23"/>
      <c r="K19" s="24" t="s">
        <v>90</v>
      </c>
      <c r="L19" s="8"/>
      <c r="M19" s="21"/>
      <c r="N19" s="21"/>
      <c r="O19" s="21"/>
      <c r="P19" s="21"/>
      <c r="Q19" s="34"/>
      <c r="R19" s="10"/>
      <c r="S19" s="10"/>
      <c r="T19" s="10"/>
      <c r="U19" s="10"/>
      <c r="V19" s="10"/>
      <c r="W19" s="10"/>
    </row>
    <row r="20" spans="1:23" x14ac:dyDescent="0.3">
      <c r="A20" s="12" t="s">
        <v>15</v>
      </c>
      <c r="B20" s="22">
        <f t="shared" ref="B20:C27" si="7">ROUND($F20*B56,0)</f>
        <v>2</v>
      </c>
      <c r="C20" s="22">
        <f t="shared" si="7"/>
        <v>135</v>
      </c>
      <c r="D20" s="22">
        <f t="shared" si="5"/>
        <v>53</v>
      </c>
      <c r="E20" s="22">
        <f t="shared" si="5"/>
        <v>0</v>
      </c>
      <c r="F20" s="27">
        <v>190</v>
      </c>
      <c r="G20" s="24">
        <f t="shared" ref="G20:G27" si="8">SUM(B20:E20)</f>
        <v>190</v>
      </c>
      <c r="H20" s="25">
        <f>F20-G20</f>
        <v>0</v>
      </c>
      <c r="I20" s="24">
        <f t="shared" si="6"/>
        <v>188</v>
      </c>
      <c r="J20" s="23"/>
      <c r="K20" s="24" t="s">
        <v>91</v>
      </c>
      <c r="L20" s="35"/>
      <c r="M20" s="21"/>
      <c r="N20" s="21"/>
      <c r="O20" s="21"/>
      <c r="P20" s="21"/>
      <c r="Q20" s="34"/>
      <c r="R20" s="10"/>
      <c r="S20" s="10"/>
      <c r="T20" s="10"/>
      <c r="U20" s="10"/>
      <c r="V20" s="10"/>
      <c r="W20" s="10"/>
    </row>
    <row r="21" spans="1:23" x14ac:dyDescent="0.3">
      <c r="A21" s="12" t="s">
        <v>33</v>
      </c>
      <c r="B21" s="22">
        <f t="shared" si="7"/>
        <v>144</v>
      </c>
      <c r="C21" s="22">
        <f t="shared" si="7"/>
        <v>196</v>
      </c>
      <c r="D21" s="22">
        <f t="shared" si="5"/>
        <v>137</v>
      </c>
      <c r="E21" s="22">
        <f t="shared" si="5"/>
        <v>0</v>
      </c>
      <c r="F21" s="27">
        <v>477</v>
      </c>
      <c r="G21" s="24">
        <f t="shared" ref="G21:G26" si="9">SUM(B21:E21)</f>
        <v>477</v>
      </c>
      <c r="H21" s="25">
        <f>F21-G21</f>
        <v>0</v>
      </c>
      <c r="I21" s="24">
        <f>SUM(C21:E21)</f>
        <v>333</v>
      </c>
      <c r="J21" s="23"/>
      <c r="K21" s="24" t="s">
        <v>107</v>
      </c>
      <c r="L21" s="35"/>
      <c r="M21" s="21"/>
      <c r="N21" s="21"/>
      <c r="O21" s="21"/>
      <c r="P21" s="21"/>
      <c r="Q21" s="34"/>
      <c r="R21" s="10"/>
      <c r="S21" s="10"/>
      <c r="T21" s="10"/>
      <c r="U21" s="10"/>
      <c r="V21" s="10"/>
      <c r="W21" s="10"/>
    </row>
    <row r="22" spans="1:23" x14ac:dyDescent="0.3">
      <c r="A22" s="12" t="s">
        <v>34</v>
      </c>
      <c r="B22" s="22">
        <f t="shared" si="7"/>
        <v>15</v>
      </c>
      <c r="C22" s="22">
        <f t="shared" si="7"/>
        <v>97</v>
      </c>
      <c r="D22" s="22">
        <f t="shared" si="5"/>
        <v>68</v>
      </c>
      <c r="E22" s="22">
        <f t="shared" si="5"/>
        <v>0</v>
      </c>
      <c r="F22" s="27">
        <v>180</v>
      </c>
      <c r="G22" s="24">
        <f t="shared" si="9"/>
        <v>180</v>
      </c>
      <c r="H22" s="25">
        <f t="shared" ref="H22:H26" si="10">F22-G22</f>
        <v>0</v>
      </c>
      <c r="I22" s="24">
        <f>SUM(C22:E22)</f>
        <v>165</v>
      </c>
      <c r="J22" s="23"/>
      <c r="K22" s="24" t="s">
        <v>107</v>
      </c>
      <c r="L22" s="8"/>
      <c r="M22" s="21"/>
      <c r="N22" s="21"/>
      <c r="O22" s="21"/>
      <c r="P22" s="21"/>
      <c r="Q22" s="34"/>
      <c r="R22" s="10"/>
      <c r="S22" s="10"/>
      <c r="T22" s="10"/>
      <c r="U22" s="10"/>
      <c r="V22" s="10"/>
      <c r="W22" s="10"/>
    </row>
    <row r="23" spans="1:23" ht="15" x14ac:dyDescent="0.3">
      <c r="A23" s="12" t="s">
        <v>68</v>
      </c>
      <c r="B23" s="22">
        <f t="shared" si="7"/>
        <v>0</v>
      </c>
      <c r="C23" s="22">
        <f t="shared" si="7"/>
        <v>13</v>
      </c>
      <c r="D23" s="22">
        <f t="shared" si="5"/>
        <v>9</v>
      </c>
      <c r="E23" s="22">
        <f t="shared" si="5"/>
        <v>0</v>
      </c>
      <c r="F23" s="27">
        <v>22</v>
      </c>
      <c r="G23" s="24">
        <f t="shared" si="9"/>
        <v>22</v>
      </c>
      <c r="H23" s="25">
        <f t="shared" si="10"/>
        <v>0</v>
      </c>
      <c r="I23" s="24">
        <f t="shared" si="6"/>
        <v>22</v>
      </c>
      <c r="J23" s="23"/>
      <c r="K23" s="24" t="s">
        <v>108</v>
      </c>
      <c r="L23" s="24"/>
      <c r="M23" s="21"/>
      <c r="N23" s="21"/>
      <c r="O23" s="21"/>
      <c r="P23" s="21"/>
      <c r="Q23" s="34"/>
      <c r="R23" s="10"/>
      <c r="S23" s="10"/>
      <c r="T23" s="10"/>
      <c r="U23" s="10"/>
      <c r="V23" s="10"/>
      <c r="W23" s="10"/>
    </row>
    <row r="24" spans="1:23" s="3" customFormat="1" x14ac:dyDescent="0.3">
      <c r="A24" s="12" t="s">
        <v>35</v>
      </c>
      <c r="B24" s="22">
        <f t="shared" si="7"/>
        <v>191</v>
      </c>
      <c r="C24" s="22">
        <f t="shared" si="7"/>
        <v>1681</v>
      </c>
      <c r="D24" s="22">
        <f t="shared" si="5"/>
        <v>1176</v>
      </c>
      <c r="E24" s="22">
        <f t="shared" si="5"/>
        <v>0</v>
      </c>
      <c r="F24" s="27">
        <v>3048</v>
      </c>
      <c r="G24" s="24">
        <f t="shared" si="9"/>
        <v>3048</v>
      </c>
      <c r="H24" s="25">
        <f>F24-G24</f>
        <v>0</v>
      </c>
      <c r="I24" s="24">
        <f>SUM(C24:E24)</f>
        <v>2857</v>
      </c>
      <c r="J24" s="23"/>
      <c r="K24" s="24" t="s">
        <v>46</v>
      </c>
      <c r="L24" s="24"/>
      <c r="M24" s="26"/>
      <c r="N24" s="26"/>
      <c r="O24" s="26"/>
      <c r="P24" s="26"/>
      <c r="Q24" s="22"/>
      <c r="R24" s="12"/>
      <c r="S24" s="12"/>
      <c r="T24" s="12"/>
      <c r="U24" s="12"/>
      <c r="V24" s="12"/>
      <c r="W24" s="12"/>
    </row>
    <row r="25" spans="1:23" s="3" customFormat="1" x14ac:dyDescent="0.3">
      <c r="A25" s="12" t="s">
        <v>29</v>
      </c>
      <c r="B25" s="22">
        <f t="shared" si="7"/>
        <v>0</v>
      </c>
      <c r="C25" s="22">
        <f t="shared" si="7"/>
        <v>0</v>
      </c>
      <c r="D25" s="22">
        <f t="shared" si="5"/>
        <v>0</v>
      </c>
      <c r="E25" s="22">
        <f t="shared" si="5"/>
        <v>0</v>
      </c>
      <c r="F25" s="27">
        <v>0</v>
      </c>
      <c r="G25" s="24">
        <f>SUM(B25:E25)</f>
        <v>0</v>
      </c>
      <c r="H25" s="25">
        <f t="shared" si="10"/>
        <v>0</v>
      </c>
      <c r="I25" s="24">
        <f t="shared" si="6"/>
        <v>0</v>
      </c>
      <c r="J25" s="23"/>
      <c r="K25" s="24" t="s">
        <v>46</v>
      </c>
      <c r="L25" s="8"/>
      <c r="M25" s="26"/>
      <c r="N25" s="26"/>
      <c r="O25" s="26"/>
      <c r="P25" s="26"/>
      <c r="Q25" s="22"/>
      <c r="R25" s="12"/>
      <c r="S25" s="12"/>
      <c r="T25" s="12"/>
      <c r="U25" s="12"/>
      <c r="V25" s="12"/>
      <c r="W25" s="12"/>
    </row>
    <row r="26" spans="1:23" s="3" customFormat="1" x14ac:dyDescent="0.3">
      <c r="A26" s="12" t="s">
        <v>16</v>
      </c>
      <c r="B26" s="22">
        <f t="shared" si="7"/>
        <v>0</v>
      </c>
      <c r="C26" s="22">
        <f t="shared" si="7"/>
        <v>0</v>
      </c>
      <c r="D26" s="22">
        <f t="shared" si="5"/>
        <v>0</v>
      </c>
      <c r="E26" s="22">
        <f t="shared" si="5"/>
        <v>0</v>
      </c>
      <c r="F26" s="27">
        <v>0</v>
      </c>
      <c r="G26" s="24">
        <f t="shared" si="9"/>
        <v>0</v>
      </c>
      <c r="H26" s="25">
        <f t="shared" si="10"/>
        <v>0</v>
      </c>
      <c r="I26" s="24">
        <f t="shared" si="6"/>
        <v>0</v>
      </c>
      <c r="J26" s="23"/>
      <c r="K26" s="24" t="s">
        <v>46</v>
      </c>
      <c r="L26" s="8"/>
      <c r="M26" s="26"/>
      <c r="N26" s="26"/>
      <c r="O26" s="26"/>
      <c r="P26" s="26"/>
      <c r="Q26" s="26"/>
      <c r="R26" s="12"/>
      <c r="S26" s="12"/>
      <c r="T26" s="12"/>
      <c r="U26" s="12"/>
      <c r="V26" s="12"/>
      <c r="W26" s="12"/>
    </row>
    <row r="27" spans="1:23" ht="15" x14ac:dyDescent="0.3">
      <c r="A27" s="36" t="s">
        <v>69</v>
      </c>
      <c r="B27" s="22">
        <f t="shared" si="7"/>
        <v>16</v>
      </c>
      <c r="C27" s="22">
        <f t="shared" si="7"/>
        <v>968</v>
      </c>
      <c r="D27" s="22">
        <f t="shared" si="5"/>
        <v>379</v>
      </c>
      <c r="E27" s="22">
        <f t="shared" si="5"/>
        <v>0</v>
      </c>
      <c r="F27" s="27">
        <v>1363</v>
      </c>
      <c r="G27" s="24">
        <f t="shared" si="8"/>
        <v>1363</v>
      </c>
      <c r="H27" s="25">
        <f>F27-G27</f>
        <v>0</v>
      </c>
      <c r="I27" s="24">
        <f>SUM(C27:E27)</f>
        <v>1347</v>
      </c>
      <c r="J27" s="23"/>
      <c r="K27" s="37" t="s">
        <v>113</v>
      </c>
      <c r="L27" s="8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4.4" thickBot="1" x14ac:dyDescent="0.35">
      <c r="A28" s="12"/>
      <c r="B28" s="60"/>
      <c r="C28" s="60"/>
      <c r="D28" s="60"/>
      <c r="E28" s="61"/>
      <c r="F28" s="69"/>
      <c r="G28" s="58"/>
      <c r="H28" s="59"/>
      <c r="I28" s="58"/>
      <c r="J28" s="23"/>
      <c r="K28" s="24"/>
      <c r="L28" s="32"/>
      <c r="M28" s="38"/>
      <c r="N28" s="15"/>
      <c r="O28" s="13"/>
      <c r="P28" s="13"/>
      <c r="Q28" s="13"/>
      <c r="R28" s="10"/>
      <c r="S28" s="10"/>
      <c r="T28" s="10"/>
      <c r="U28" s="10"/>
      <c r="V28" s="10"/>
      <c r="W28" s="10"/>
    </row>
    <row r="29" spans="1:23" ht="14.4" thickTop="1" x14ac:dyDescent="0.3">
      <c r="A29" s="31" t="s">
        <v>12</v>
      </c>
      <c r="B29" s="156">
        <f>SUM(B19:B27)</f>
        <v>1747</v>
      </c>
      <c r="C29" s="156">
        <f>SUM(C19:C27)</f>
        <v>23671</v>
      </c>
      <c r="D29" s="156">
        <f>SUM(D19:D27)</f>
        <v>9887</v>
      </c>
      <c r="E29" s="156">
        <f>SUM(E19:E27)</f>
        <v>0</v>
      </c>
      <c r="F29" s="27">
        <f>SUM(F19:F27)</f>
        <v>35305</v>
      </c>
      <c r="G29" s="24">
        <f>SUM(B29:E29)</f>
        <v>35305</v>
      </c>
      <c r="H29" s="25">
        <f>F29-G29</f>
        <v>0</v>
      </c>
      <c r="I29" s="24">
        <f>SUM(C29:E29)</f>
        <v>33558</v>
      </c>
      <c r="J29" s="23"/>
      <c r="K29" s="24"/>
      <c r="L29" s="8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3">
      <c r="A30" s="13"/>
      <c r="B30" s="64"/>
      <c r="C30" s="64"/>
      <c r="D30" s="64"/>
      <c r="E30" s="64"/>
      <c r="F30" s="64"/>
      <c r="G30" s="58"/>
      <c r="H30" s="59"/>
      <c r="I30" s="58"/>
      <c r="J30" s="23"/>
      <c r="K30" s="24"/>
      <c r="L30" s="28"/>
      <c r="M30" s="38"/>
      <c r="N30" s="9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3">
      <c r="A31" s="12"/>
      <c r="B31" s="60"/>
      <c r="C31" s="60"/>
      <c r="D31" s="60"/>
      <c r="E31" s="60"/>
      <c r="F31" s="66"/>
      <c r="G31" s="58"/>
      <c r="H31" s="59"/>
      <c r="I31" s="58"/>
      <c r="J31" s="23"/>
      <c r="K31" s="24"/>
      <c r="L31" s="8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3">
      <c r="A32" s="11" t="s">
        <v>17</v>
      </c>
      <c r="B32" s="27">
        <f>SUM(B15+B29)</f>
        <v>1840</v>
      </c>
      <c r="C32" s="27">
        <f>SUM(C15+C29)</f>
        <v>29245</v>
      </c>
      <c r="D32" s="27">
        <f>SUM(D15+D29)</f>
        <v>12063</v>
      </c>
      <c r="E32" s="27">
        <f>SUM(E15+E29)</f>
        <v>0</v>
      </c>
      <c r="F32" s="27">
        <f>SUM(F15+F29)</f>
        <v>43148</v>
      </c>
      <c r="G32" s="24">
        <f>SUM(B32:E32)</f>
        <v>43148</v>
      </c>
      <c r="H32" s="25">
        <f>F32-G32</f>
        <v>0</v>
      </c>
      <c r="I32" s="24">
        <f>SUM(C32:E32)</f>
        <v>41308</v>
      </c>
      <c r="J32" s="23"/>
      <c r="K32" s="24"/>
      <c r="L32" s="8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3">
      <c r="A33" s="12" t="s">
        <v>18</v>
      </c>
      <c r="B33" s="157">
        <f>(B32/F32)</f>
        <v>4.2643923240938165E-2</v>
      </c>
      <c r="C33" s="157">
        <f>(C32/F32)</f>
        <v>0.67778344303328075</v>
      </c>
      <c r="D33" s="157">
        <f>(D32/F32)</f>
        <v>0.27957263372578101</v>
      </c>
      <c r="E33" s="157">
        <f>(E32/F32)</f>
        <v>0</v>
      </c>
      <c r="F33" s="11"/>
      <c r="G33" s="24"/>
      <c r="H33" s="158"/>
      <c r="I33" s="8"/>
      <c r="J33" s="8"/>
      <c r="K33" s="24"/>
      <c r="L33" s="39">
        <f>SUM(B33:E33)</f>
        <v>0.99999999999999989</v>
      </c>
      <c r="M33" s="3"/>
      <c r="N33" s="4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3">
      <c r="A34" s="36"/>
      <c r="B34" s="12"/>
      <c r="C34" s="12"/>
      <c r="D34" s="12"/>
      <c r="E34" s="12"/>
      <c r="F34" s="11"/>
      <c r="G34" s="24"/>
      <c r="H34" s="8"/>
      <c r="I34" s="8"/>
      <c r="J34" s="8"/>
      <c r="K34" s="10"/>
      <c r="L34" s="10"/>
      <c r="M34" s="10"/>
      <c r="N34" s="10"/>
    </row>
    <row r="35" spans="1:23" x14ac:dyDescent="0.3">
      <c r="A35" s="41" t="s">
        <v>19</v>
      </c>
      <c r="B35" s="27">
        <f>(B32-(B6+B7+B8))</f>
        <v>1825</v>
      </c>
      <c r="C35" s="27">
        <f>(C32-(C6+C7+C8))</f>
        <v>28269</v>
      </c>
      <c r="D35" s="27">
        <f>(D32-(D6+D7+D8))</f>
        <v>11690</v>
      </c>
      <c r="E35" s="27">
        <f>(E32-(E6+E7+E8))</f>
        <v>0</v>
      </c>
      <c r="F35" s="27">
        <f>(F32-(F6+F7+F8))</f>
        <v>41784</v>
      </c>
      <c r="G35" s="24">
        <f>SUM(B35:E35)</f>
        <v>41784</v>
      </c>
      <c r="H35" s="25">
        <f>F35-G35</f>
        <v>0</v>
      </c>
      <c r="I35" s="24">
        <f>SUM(C35:E35)</f>
        <v>39959</v>
      </c>
      <c r="J35" s="23"/>
      <c r="K35" s="10"/>
      <c r="L35" s="10"/>
      <c r="M35" s="10"/>
      <c r="N35" s="10"/>
    </row>
    <row r="36" spans="1:23" x14ac:dyDescent="0.3">
      <c r="A36" s="12" t="s">
        <v>18</v>
      </c>
      <c r="B36" s="157">
        <f>(B35/F35)</f>
        <v>4.3677005552364541E-2</v>
      </c>
      <c r="C36" s="157">
        <f>(C35/F35)</f>
        <v>0.67655083285468121</v>
      </c>
      <c r="D36" s="157">
        <f>(D35/F35)</f>
        <v>0.27977216159295426</v>
      </c>
      <c r="E36" s="157">
        <f>(E35/F35)</f>
        <v>0</v>
      </c>
      <c r="F36" s="159"/>
      <c r="G36" s="24"/>
      <c r="H36" s="8"/>
      <c r="I36" s="8"/>
      <c r="J36" s="8"/>
      <c r="K36" s="10"/>
      <c r="L36" s="42">
        <f>SUM(B36:E36)</f>
        <v>1</v>
      </c>
      <c r="M36" s="10"/>
      <c r="N36" s="10"/>
    </row>
    <row r="37" spans="1:23" x14ac:dyDescent="0.3">
      <c r="A37" s="36"/>
      <c r="B37" s="12"/>
      <c r="C37" s="12"/>
      <c r="D37" s="12"/>
      <c r="E37" s="12"/>
      <c r="F37" s="11"/>
      <c r="G37" s="24"/>
      <c r="H37" s="8"/>
      <c r="I37" s="8"/>
      <c r="J37" s="8"/>
      <c r="K37" s="10"/>
      <c r="L37" s="10"/>
      <c r="M37" s="10"/>
      <c r="N37" s="10"/>
    </row>
    <row r="38" spans="1:23" x14ac:dyDescent="0.3">
      <c r="A38" s="11" t="s">
        <v>20</v>
      </c>
      <c r="B38" s="27">
        <f t="shared" ref="B38:G38" si="11">(B11+B12+B21+B22+B23+B24+B26+B25)</f>
        <v>351</v>
      </c>
      <c r="C38" s="27">
        <f t="shared" si="11"/>
        <v>1990</v>
      </c>
      <c r="D38" s="27">
        <f t="shared" si="11"/>
        <v>1392</v>
      </c>
      <c r="E38" s="27">
        <f t="shared" si="11"/>
        <v>0</v>
      </c>
      <c r="F38" s="27">
        <f t="shared" si="11"/>
        <v>3733</v>
      </c>
      <c r="G38" s="22">
        <f t="shared" si="11"/>
        <v>3733</v>
      </c>
      <c r="H38" s="25">
        <f>F38-G38</f>
        <v>0</v>
      </c>
      <c r="I38" s="24">
        <f>SUM(C38:E38)</f>
        <v>3382</v>
      </c>
      <c r="J38" s="23"/>
      <c r="K38" s="10"/>
      <c r="L38" s="10"/>
      <c r="M38" s="10"/>
      <c r="N38" s="10"/>
    </row>
    <row r="39" spans="1:23" x14ac:dyDescent="0.3">
      <c r="A39" s="12" t="s">
        <v>18</v>
      </c>
      <c r="B39" s="157">
        <f>(B38/F38)</f>
        <v>9.4026252343959282E-2</v>
      </c>
      <c r="C39" s="157">
        <f>(C38/F38)</f>
        <v>0.53308331100991158</v>
      </c>
      <c r="D39" s="157">
        <f>(D38/F38)</f>
        <v>0.37289043664612914</v>
      </c>
      <c r="E39" s="157">
        <f>(E38/F38)</f>
        <v>0</v>
      </c>
      <c r="F39" s="11"/>
      <c r="G39" s="24"/>
      <c r="H39" s="8"/>
      <c r="I39" s="8"/>
      <c r="J39" s="8"/>
      <c r="K39" s="10"/>
      <c r="L39" s="42">
        <f>SUM(B39:E39)</f>
        <v>1</v>
      </c>
      <c r="M39" s="10"/>
      <c r="N39" s="10"/>
    </row>
    <row r="40" spans="1:23" x14ac:dyDescent="0.3">
      <c r="A40" s="12"/>
      <c r="B40" s="70"/>
      <c r="C40" s="70"/>
      <c r="D40" s="70"/>
      <c r="E40" s="70"/>
      <c r="F40" s="66"/>
      <c r="G40" s="58"/>
      <c r="H40" s="67"/>
      <c r="I40" s="67"/>
      <c r="J40" s="8"/>
      <c r="K40" s="10"/>
      <c r="L40" s="10"/>
      <c r="M40" s="10"/>
      <c r="N40" s="10"/>
    </row>
    <row r="41" spans="1:23" x14ac:dyDescent="0.3">
      <c r="A41" s="12"/>
      <c r="B41" s="70"/>
      <c r="C41" s="70"/>
      <c r="D41" s="70"/>
      <c r="E41" s="70"/>
      <c r="F41" s="66"/>
      <c r="G41" s="58"/>
      <c r="H41" s="67"/>
      <c r="I41" s="67"/>
      <c r="J41" s="8"/>
      <c r="K41" s="10"/>
      <c r="L41" s="10"/>
      <c r="M41" s="10"/>
      <c r="N41" s="10"/>
    </row>
    <row r="42" spans="1:23" x14ac:dyDescent="0.3">
      <c r="A42" s="12" t="s">
        <v>65</v>
      </c>
      <c r="B42" s="60"/>
      <c r="C42" s="60"/>
      <c r="D42" s="63"/>
      <c r="E42" s="63"/>
      <c r="F42" s="22">
        <f>'Hatchery-Wild Breakdown'!G44</f>
        <v>154.56326537657299</v>
      </c>
      <c r="G42" s="58"/>
      <c r="H42" s="67"/>
      <c r="I42" s="67"/>
      <c r="J42" s="8"/>
      <c r="K42" s="10"/>
      <c r="L42" s="10"/>
      <c r="M42" s="10"/>
      <c r="N42" s="10"/>
    </row>
    <row r="43" spans="1:23" x14ac:dyDescent="0.3">
      <c r="A43" s="12" t="s">
        <v>66</v>
      </c>
      <c r="B43" s="60"/>
      <c r="C43" s="60"/>
      <c r="D43" s="63"/>
      <c r="E43" s="63"/>
      <c r="F43" s="22">
        <f>'Hatchery-Wild Breakdown'!H44</f>
        <v>53.68133417356421</v>
      </c>
      <c r="G43" s="58"/>
      <c r="H43" s="67"/>
      <c r="I43" s="67"/>
      <c r="J43" s="8"/>
      <c r="K43" s="10"/>
      <c r="L43" s="10"/>
      <c r="M43" s="10"/>
      <c r="N43" s="10"/>
    </row>
    <row r="44" spans="1:23" x14ac:dyDescent="0.3">
      <c r="A44" s="10" t="s">
        <v>67</v>
      </c>
      <c r="B44" s="63"/>
      <c r="C44" s="63"/>
      <c r="D44" s="63"/>
      <c r="E44" s="63"/>
      <c r="F44" s="171">
        <f>F38+F42+F43</f>
        <v>3941.2445995501371</v>
      </c>
      <c r="G44" s="71"/>
      <c r="H44" s="67"/>
      <c r="I44" s="67"/>
      <c r="J44" s="8"/>
      <c r="K44" s="10"/>
      <c r="L44" s="10"/>
      <c r="M44" s="10"/>
      <c r="N44" s="10"/>
    </row>
    <row r="45" spans="1:23" x14ac:dyDescent="0.3">
      <c r="A45" s="36"/>
      <c r="B45" s="60"/>
      <c r="C45" s="60"/>
      <c r="D45" s="60"/>
      <c r="E45" s="60"/>
      <c r="F45" s="60"/>
      <c r="G45" s="58"/>
      <c r="H45" s="67"/>
      <c r="I45" s="67"/>
      <c r="J45" s="8"/>
      <c r="K45" s="10"/>
      <c r="L45" s="10"/>
      <c r="M45" s="10"/>
      <c r="N45" s="10"/>
    </row>
    <row r="46" spans="1:23" x14ac:dyDescent="0.3">
      <c r="A46" s="16" t="s">
        <v>22</v>
      </c>
      <c r="B46" s="68"/>
      <c r="C46" s="68"/>
      <c r="D46" s="68"/>
      <c r="E46" s="68"/>
      <c r="F46" s="68"/>
      <c r="G46" s="58"/>
      <c r="H46" s="72"/>
      <c r="I46" s="72"/>
      <c r="J46" s="20"/>
      <c r="K46" s="10"/>
      <c r="L46" s="10"/>
      <c r="M46" s="10"/>
      <c r="N46" s="10"/>
    </row>
    <row r="47" spans="1:23" x14ac:dyDescent="0.3">
      <c r="A47" s="12" t="s">
        <v>51</v>
      </c>
      <c r="B47" s="43">
        <v>0</v>
      </c>
      <c r="C47" s="43">
        <v>0.56489999999999996</v>
      </c>
      <c r="D47" s="43">
        <v>0.43509999999999999</v>
      </c>
      <c r="E47" s="43">
        <v>0</v>
      </c>
      <c r="F47" s="43">
        <f t="shared" ref="F47:F49" si="12">SUM(B47:E47)</f>
        <v>1</v>
      </c>
      <c r="G47" s="63"/>
      <c r="H47" s="67"/>
      <c r="I47" s="67"/>
      <c r="J47" s="8"/>
      <c r="K47" s="10"/>
      <c r="L47" s="44"/>
      <c r="M47" s="10"/>
      <c r="N47" s="10"/>
    </row>
    <row r="48" spans="1:23" ht="15" x14ac:dyDescent="0.3">
      <c r="A48" s="12" t="s">
        <v>70</v>
      </c>
      <c r="B48" s="43">
        <v>1.38E-2</v>
      </c>
      <c r="C48" s="43">
        <v>0.75180000000000002</v>
      </c>
      <c r="D48" s="43">
        <v>0.2344</v>
      </c>
      <c r="E48" s="43">
        <v>0</v>
      </c>
      <c r="F48" s="43">
        <f t="shared" si="12"/>
        <v>1</v>
      </c>
      <c r="G48" s="63"/>
      <c r="H48" s="67"/>
      <c r="I48" s="67"/>
      <c r="J48" s="8"/>
      <c r="K48" s="10"/>
      <c r="L48" s="44"/>
      <c r="M48" s="10"/>
      <c r="N48" s="10"/>
    </row>
    <row r="49" spans="1:23" ht="15" x14ac:dyDescent="0.3">
      <c r="A49" s="12" t="s">
        <v>71</v>
      </c>
      <c r="B49" s="43">
        <v>0</v>
      </c>
      <c r="C49" s="43">
        <v>0.71430000000000005</v>
      </c>
      <c r="D49" s="43">
        <v>0.28570000000000001</v>
      </c>
      <c r="E49" s="43">
        <v>0</v>
      </c>
      <c r="F49" s="43">
        <f t="shared" si="12"/>
        <v>1</v>
      </c>
      <c r="G49" s="63"/>
      <c r="H49" s="67"/>
      <c r="I49" s="67"/>
      <c r="J49" s="8"/>
      <c r="K49" s="45"/>
      <c r="L49" s="46"/>
      <c r="M49" s="7"/>
      <c r="N49" s="7"/>
      <c r="O49" s="12"/>
      <c r="P49" s="12"/>
      <c r="Q49" s="12"/>
      <c r="R49" s="10"/>
      <c r="S49" s="10"/>
      <c r="T49" s="10"/>
      <c r="U49" s="10"/>
      <c r="V49" s="10"/>
      <c r="W49" s="10"/>
    </row>
    <row r="50" spans="1:23" ht="15" x14ac:dyDescent="0.3">
      <c r="A50" s="12" t="s">
        <v>72</v>
      </c>
      <c r="B50" s="43">
        <v>1.18E-2</v>
      </c>
      <c r="C50" s="43">
        <v>0.71</v>
      </c>
      <c r="D50" s="43">
        <v>0.2782</v>
      </c>
      <c r="E50" s="43">
        <v>0</v>
      </c>
      <c r="F50" s="43">
        <f>SUM(B50:E50)</f>
        <v>1</v>
      </c>
      <c r="G50" s="73"/>
      <c r="H50" s="67"/>
      <c r="I50" s="67"/>
      <c r="J50" s="8"/>
      <c r="K50" s="45"/>
      <c r="L50" s="46"/>
      <c r="M50" s="7"/>
      <c r="N50" s="7"/>
      <c r="O50" s="12"/>
      <c r="P50" s="12"/>
      <c r="Q50" s="12"/>
      <c r="R50" s="10"/>
      <c r="S50" s="10"/>
      <c r="T50" s="10"/>
      <c r="U50" s="10"/>
      <c r="V50" s="10"/>
      <c r="W50" s="10"/>
    </row>
    <row r="51" spans="1:23" ht="15" x14ac:dyDescent="0.3">
      <c r="A51" s="12" t="s">
        <v>73</v>
      </c>
      <c r="B51" s="43">
        <v>1.18E-2</v>
      </c>
      <c r="C51" s="43">
        <v>0.71</v>
      </c>
      <c r="D51" s="43">
        <v>0.2782</v>
      </c>
      <c r="E51" s="43">
        <v>0</v>
      </c>
      <c r="F51" s="43">
        <f>SUM(B51:E51)</f>
        <v>1</v>
      </c>
      <c r="G51" s="73"/>
      <c r="H51" s="67"/>
      <c r="I51" s="67"/>
      <c r="J51" s="8"/>
      <c r="K51" s="45"/>
      <c r="L51" s="8"/>
      <c r="M51" s="7"/>
      <c r="N51" s="7"/>
      <c r="O51" s="12"/>
      <c r="P51" s="12"/>
      <c r="Q51" s="12"/>
      <c r="R51" s="10"/>
      <c r="S51" s="10"/>
      <c r="T51" s="10"/>
      <c r="U51" s="10"/>
      <c r="V51" s="10"/>
      <c r="W51" s="10"/>
    </row>
    <row r="52" spans="1:23" ht="15" x14ac:dyDescent="0.3">
      <c r="A52" s="12" t="s">
        <v>84</v>
      </c>
      <c r="B52" s="43">
        <v>0.12889999999999999</v>
      </c>
      <c r="C52" s="43">
        <v>0.51239999999999997</v>
      </c>
      <c r="D52" s="43">
        <v>0.35870000000000002</v>
      </c>
      <c r="E52" s="43">
        <v>0</v>
      </c>
      <c r="F52" s="43">
        <f t="shared" ref="F52" si="13">SUM(B52:E52)</f>
        <v>1</v>
      </c>
      <c r="G52" s="73"/>
      <c r="H52" s="67"/>
      <c r="I52" s="67"/>
      <c r="J52" s="8"/>
      <c r="K52" s="45"/>
      <c r="L52" s="8"/>
      <c r="M52" s="7"/>
      <c r="N52" s="7"/>
      <c r="O52" s="12"/>
      <c r="P52" s="12"/>
      <c r="Q52" s="12"/>
      <c r="R52" s="10"/>
      <c r="S52" s="10"/>
      <c r="T52" s="10"/>
      <c r="U52" s="10"/>
      <c r="V52" s="10"/>
      <c r="W52" s="10"/>
    </row>
    <row r="53" spans="1:23" ht="15" x14ac:dyDescent="0.3">
      <c r="A53" s="12" t="s">
        <v>83</v>
      </c>
      <c r="B53" s="43">
        <v>0.12889999999999999</v>
      </c>
      <c r="C53" s="43">
        <v>0.51239999999999997</v>
      </c>
      <c r="D53" s="43">
        <v>0.35870000000000002</v>
      </c>
      <c r="E53" s="43">
        <v>0</v>
      </c>
      <c r="F53" s="43">
        <f t="shared" ref="F53" si="14">SUM(B53:E53)</f>
        <v>1</v>
      </c>
      <c r="G53" s="73"/>
      <c r="H53" s="67"/>
      <c r="I53" s="67"/>
      <c r="J53" s="8"/>
      <c r="K53" s="45"/>
      <c r="L53" s="8"/>
      <c r="M53" s="7"/>
      <c r="N53" s="7"/>
      <c r="O53" s="12"/>
      <c r="P53" s="12"/>
      <c r="Q53" s="12"/>
      <c r="R53" s="10"/>
      <c r="S53" s="10"/>
      <c r="T53" s="10"/>
      <c r="U53" s="10"/>
      <c r="V53" s="10"/>
      <c r="W53" s="10"/>
    </row>
    <row r="54" spans="1:23" ht="15" x14ac:dyDescent="0.3">
      <c r="A54" s="10" t="s">
        <v>105</v>
      </c>
      <c r="B54" s="43">
        <v>1.18E-2</v>
      </c>
      <c r="C54" s="43">
        <v>0.71</v>
      </c>
      <c r="D54" s="43">
        <v>0.2782</v>
      </c>
      <c r="E54" s="43">
        <v>0</v>
      </c>
      <c r="F54" s="43">
        <f>SUM(B54:E54)</f>
        <v>1</v>
      </c>
      <c r="G54" s="45" t="s">
        <v>95</v>
      </c>
      <c r="H54" s="67"/>
      <c r="I54" s="67"/>
      <c r="J54" s="8"/>
      <c r="K54" s="45"/>
      <c r="L54" s="8"/>
      <c r="M54" s="7"/>
      <c r="N54" s="7"/>
      <c r="O54" s="12"/>
      <c r="P54" s="12"/>
      <c r="Q54" s="12"/>
      <c r="R54" s="10"/>
      <c r="S54" s="10"/>
      <c r="T54" s="10"/>
      <c r="U54" s="10"/>
      <c r="V54" s="10"/>
      <c r="W54" s="10"/>
    </row>
    <row r="55" spans="1:23" ht="15" x14ac:dyDescent="0.3">
      <c r="A55" s="12" t="s">
        <v>74</v>
      </c>
      <c r="B55" s="43">
        <v>4.5900000000000003E-2</v>
      </c>
      <c r="C55" s="43">
        <v>0.6855</v>
      </c>
      <c r="D55" s="43">
        <v>0.26860000000000001</v>
      </c>
      <c r="E55" s="43">
        <v>0</v>
      </c>
      <c r="F55" s="43">
        <f>SUM(B55:E55)</f>
        <v>1</v>
      </c>
      <c r="G55" s="45" t="s">
        <v>56</v>
      </c>
      <c r="H55" s="67"/>
      <c r="I55" s="67"/>
      <c r="J55" s="8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" x14ac:dyDescent="0.3">
      <c r="A56" s="12" t="s">
        <v>75</v>
      </c>
      <c r="B56" s="43">
        <v>1.18E-2</v>
      </c>
      <c r="C56" s="43">
        <v>0.71</v>
      </c>
      <c r="D56" s="43">
        <v>0.2782</v>
      </c>
      <c r="E56" s="43">
        <v>0</v>
      </c>
      <c r="F56" s="43">
        <f>SUM(B56:E56)</f>
        <v>1</v>
      </c>
      <c r="G56" s="45"/>
      <c r="H56" s="67"/>
      <c r="I56" s="67"/>
      <c r="J56" s="8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" x14ac:dyDescent="0.3">
      <c r="A57" s="12" t="s">
        <v>96</v>
      </c>
      <c r="B57" s="43">
        <v>0.3019</v>
      </c>
      <c r="C57" s="43">
        <v>0.41060000000000002</v>
      </c>
      <c r="D57" s="43">
        <v>0.28749999999999998</v>
      </c>
      <c r="E57" s="43">
        <v>0</v>
      </c>
      <c r="F57" s="43">
        <f t="shared" ref="F57" si="15">SUM(B57:E57)</f>
        <v>1</v>
      </c>
      <c r="G57" s="45" t="s">
        <v>99</v>
      </c>
      <c r="H57" s="67"/>
      <c r="I57" s="67"/>
      <c r="J57" s="8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" x14ac:dyDescent="0.3">
      <c r="A58" s="12" t="s">
        <v>97</v>
      </c>
      <c r="B58" s="43">
        <v>8.3299999999999999E-2</v>
      </c>
      <c r="C58" s="43">
        <v>0.53920000000000001</v>
      </c>
      <c r="D58" s="43">
        <v>0.3775</v>
      </c>
      <c r="E58" s="43">
        <v>0</v>
      </c>
      <c r="F58" s="43">
        <f t="shared" ref="F58:F59" si="16">SUM(B58:E58)</f>
        <v>1</v>
      </c>
      <c r="G58" s="45" t="s">
        <v>99</v>
      </c>
      <c r="H58" s="67"/>
      <c r="I58" s="67"/>
      <c r="J58" s="8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" x14ac:dyDescent="0.3">
      <c r="A59" s="12" t="s">
        <v>98</v>
      </c>
      <c r="B59" s="43">
        <v>0</v>
      </c>
      <c r="C59" s="43">
        <v>0.58819999999999995</v>
      </c>
      <c r="D59" s="43">
        <v>0.4118</v>
      </c>
      <c r="E59" s="43">
        <v>0</v>
      </c>
      <c r="F59" s="43">
        <f t="shared" si="16"/>
        <v>1</v>
      </c>
      <c r="G59" s="45" t="s">
        <v>99</v>
      </c>
      <c r="H59" s="67"/>
      <c r="I59" s="67"/>
      <c r="J59" s="8"/>
      <c r="K59" s="7"/>
      <c r="L59" s="8"/>
      <c r="M59" s="9"/>
      <c r="N59" s="9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" x14ac:dyDescent="0.3">
      <c r="A60" s="12" t="s">
        <v>76</v>
      </c>
      <c r="B60" s="43">
        <v>6.2700000000000006E-2</v>
      </c>
      <c r="C60" s="43">
        <v>0.5514</v>
      </c>
      <c r="D60" s="43">
        <v>0.38590000000000002</v>
      </c>
      <c r="E60" s="43">
        <v>0</v>
      </c>
      <c r="F60" s="43">
        <f t="shared" ref="F60:F61" si="17">SUM(B60:E60)</f>
        <v>1</v>
      </c>
      <c r="G60" s="45" t="s">
        <v>54</v>
      </c>
      <c r="H60" s="67"/>
      <c r="I60" s="67"/>
      <c r="J60" s="8"/>
      <c r="K60" s="7"/>
      <c r="L60" s="8"/>
      <c r="M60" s="9"/>
      <c r="N60" s="9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" x14ac:dyDescent="0.3">
      <c r="A61" s="12" t="s">
        <v>77</v>
      </c>
      <c r="B61" s="43">
        <v>6.2700000000000006E-2</v>
      </c>
      <c r="C61" s="43">
        <v>0.5514</v>
      </c>
      <c r="D61" s="43">
        <v>0.38590000000000002</v>
      </c>
      <c r="E61" s="43">
        <v>0</v>
      </c>
      <c r="F61" s="43">
        <f t="shared" si="17"/>
        <v>1</v>
      </c>
      <c r="G61" s="45" t="s">
        <v>54</v>
      </c>
      <c r="H61" s="67"/>
      <c r="I61" s="67"/>
      <c r="J61" s="8"/>
      <c r="K61" s="7"/>
      <c r="L61" s="8"/>
      <c r="M61" s="9"/>
      <c r="N61" s="9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" x14ac:dyDescent="0.3">
      <c r="A62" s="12" t="s">
        <v>78</v>
      </c>
      <c r="B62" s="43">
        <v>0.12889999999999999</v>
      </c>
      <c r="C62" s="43">
        <v>0.51239999999999997</v>
      </c>
      <c r="D62" s="43">
        <v>0.35870000000000002</v>
      </c>
      <c r="E62" s="43">
        <v>0</v>
      </c>
      <c r="F62" s="43">
        <f t="shared" ref="F62" si="18">SUM(B62:E62)</f>
        <v>1</v>
      </c>
      <c r="G62" s="45"/>
      <c r="H62" s="67"/>
      <c r="I62" s="67"/>
      <c r="J62" s="8"/>
      <c r="K62" s="7"/>
      <c r="L62" s="8"/>
      <c r="M62" s="9"/>
      <c r="N62" s="9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" x14ac:dyDescent="0.3">
      <c r="A63" s="36" t="s">
        <v>86</v>
      </c>
      <c r="B63" s="43">
        <v>1.18E-2</v>
      </c>
      <c r="C63" s="43">
        <v>0.71</v>
      </c>
      <c r="D63" s="43">
        <v>0.2782</v>
      </c>
      <c r="E63" s="43">
        <v>0</v>
      </c>
      <c r="F63" s="43">
        <f>SUM(B63:E63)</f>
        <v>1</v>
      </c>
      <c r="G63" s="73"/>
      <c r="H63" s="65"/>
      <c r="I63" s="65"/>
      <c r="J63" s="18"/>
      <c r="K63" s="7"/>
      <c r="L63" s="8"/>
      <c r="M63" s="9"/>
      <c r="N63" s="9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3">
      <c r="A64" s="36"/>
      <c r="B64" s="10"/>
      <c r="C64" s="10"/>
      <c r="D64" s="10"/>
      <c r="E64" s="10"/>
      <c r="F64" s="10"/>
      <c r="G64" s="10"/>
      <c r="H64" s="8"/>
      <c r="I64" s="8"/>
      <c r="J64" s="8"/>
      <c r="K64" s="7"/>
      <c r="L64" s="8"/>
      <c r="M64" s="9"/>
      <c r="N64" s="9"/>
      <c r="O64" s="10"/>
      <c r="P64" s="10"/>
      <c r="Q64" s="10"/>
      <c r="R64" s="10"/>
      <c r="S64" s="10"/>
      <c r="T64" s="10"/>
      <c r="U64" s="10"/>
      <c r="V64" s="10"/>
      <c r="W64" s="10"/>
    </row>
    <row r="65" spans="1:23" s="10" customFormat="1" x14ac:dyDescent="0.3">
      <c r="B65" s="12"/>
      <c r="C65" s="12"/>
      <c r="D65" s="12"/>
      <c r="E65" s="12"/>
      <c r="F65" s="12"/>
      <c r="G65" s="45"/>
      <c r="H65" s="8"/>
      <c r="I65" s="8"/>
      <c r="J65" s="8"/>
      <c r="K65" s="7"/>
      <c r="L65" s="8"/>
      <c r="M65" s="7"/>
      <c r="N65" s="7"/>
      <c r="O65" s="12"/>
      <c r="P65" s="12"/>
      <c r="Q65" s="12"/>
    </row>
    <row r="66" spans="1:23" s="10" customFormat="1" x14ac:dyDescent="0.3">
      <c r="B66" s="12"/>
      <c r="C66" s="12"/>
      <c r="D66" s="12"/>
      <c r="E66" s="12"/>
      <c r="F66" s="12"/>
      <c r="G66" s="45"/>
      <c r="H66" s="8"/>
      <c r="I66" s="8"/>
      <c r="J66" s="8"/>
      <c r="K66" s="7"/>
      <c r="L66" s="8"/>
      <c r="M66" s="7"/>
      <c r="N66" s="7"/>
      <c r="O66" s="12"/>
      <c r="P66" s="12"/>
      <c r="Q66" s="12"/>
    </row>
    <row r="67" spans="1:23" s="12" customFormat="1" ht="15" x14ac:dyDescent="0.3">
      <c r="A67" s="47" t="s">
        <v>79</v>
      </c>
      <c r="E67" s="43"/>
      <c r="G67" s="7"/>
      <c r="H67" s="8"/>
      <c r="I67" s="8"/>
      <c r="J67" s="8"/>
      <c r="K67" s="48"/>
      <c r="L67" s="8"/>
      <c r="M67" s="7"/>
      <c r="N67" s="7"/>
    </row>
    <row r="68" spans="1:23" s="12" customFormat="1" ht="15" x14ac:dyDescent="0.3">
      <c r="A68" s="24" t="s">
        <v>80</v>
      </c>
      <c r="G68" s="7"/>
      <c r="H68" s="8"/>
      <c r="I68" s="8"/>
      <c r="J68" s="8"/>
      <c r="K68" s="7"/>
      <c r="L68" s="8"/>
      <c r="M68" s="7"/>
      <c r="N68" s="7"/>
    </row>
    <row r="69" spans="1:23" s="12" customFormat="1" ht="15" x14ac:dyDescent="0.3">
      <c r="A69" s="47" t="s">
        <v>94</v>
      </c>
      <c r="G69" s="7"/>
      <c r="H69" s="8"/>
      <c r="I69" s="8"/>
      <c r="J69" s="8"/>
      <c r="K69" s="7"/>
      <c r="L69" s="8"/>
      <c r="M69" s="7"/>
      <c r="N69" s="7"/>
    </row>
    <row r="70" spans="1:23" s="10" customFormat="1" ht="15" x14ac:dyDescent="0.3">
      <c r="A70" s="47" t="s">
        <v>81</v>
      </c>
      <c r="B70" s="12"/>
      <c r="C70" s="12"/>
      <c r="D70" s="12"/>
      <c r="E70" s="12"/>
      <c r="F70" s="12"/>
      <c r="G70" s="7"/>
      <c r="H70" s="8"/>
      <c r="I70" s="8"/>
      <c r="J70" s="8"/>
      <c r="K70" s="7"/>
      <c r="L70" s="8"/>
      <c r="M70" s="9"/>
      <c r="N70" s="9"/>
    </row>
    <row r="71" spans="1:23" ht="15" x14ac:dyDescent="0.3">
      <c r="A71" s="47" t="s">
        <v>106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" x14ac:dyDescent="0.3">
      <c r="A72" s="47" t="s">
        <v>82</v>
      </c>
      <c r="B72" s="12"/>
      <c r="C72" s="12"/>
      <c r="D72" s="12"/>
      <c r="E72" s="12"/>
      <c r="F72" s="12"/>
      <c r="G72" s="12"/>
      <c r="H72" s="12"/>
      <c r="I72" s="12"/>
      <c r="J72" s="12"/>
      <c r="K72" s="7"/>
      <c r="L72" s="8"/>
      <c r="M72" s="9"/>
      <c r="N72" s="9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" x14ac:dyDescent="0.3">
      <c r="A73" s="47" t="s">
        <v>87</v>
      </c>
      <c r="B73" s="12"/>
      <c r="C73" s="12"/>
      <c r="D73" s="12"/>
      <c r="E73" s="12"/>
      <c r="F73" s="12"/>
      <c r="G73" s="12"/>
      <c r="H73" s="12"/>
      <c r="I73" s="12"/>
      <c r="J73" s="12"/>
      <c r="K73" s="7"/>
      <c r="L73" s="8"/>
      <c r="M73" s="9"/>
      <c r="N73" s="9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" x14ac:dyDescent="0.3">
      <c r="A74" s="12" t="s">
        <v>85</v>
      </c>
      <c r="B74" s="10"/>
      <c r="C74" s="10"/>
      <c r="D74" s="10"/>
      <c r="E74" s="10"/>
      <c r="F74" s="10"/>
      <c r="G74" s="10"/>
      <c r="H74" s="10"/>
      <c r="I74" s="10"/>
      <c r="J74" s="10"/>
      <c r="K74" s="9"/>
      <c r="L74" s="49"/>
      <c r="M74" s="9"/>
      <c r="N74" s="9"/>
      <c r="O74" s="10"/>
      <c r="P74" s="10"/>
      <c r="Q74" s="10"/>
      <c r="R74" s="10"/>
      <c r="S74" s="10"/>
      <c r="T74" s="10"/>
      <c r="U74" s="10"/>
      <c r="V74" s="10"/>
      <c r="W74" s="10"/>
    </row>
    <row r="75" spans="1:23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9"/>
      <c r="L75" s="49"/>
      <c r="M75" s="9"/>
      <c r="N75" s="9"/>
      <c r="O75" s="10"/>
      <c r="P75" s="10"/>
      <c r="Q75" s="10"/>
      <c r="R75" s="10"/>
      <c r="S75" s="10"/>
      <c r="T75" s="10"/>
      <c r="U75" s="10"/>
      <c r="V75" s="10"/>
      <c r="W75" s="10"/>
    </row>
    <row r="76" spans="1:23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8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8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8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8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x14ac:dyDescent="0.3">
      <c r="A80" s="10"/>
      <c r="B80" s="176"/>
      <c r="C80" s="176"/>
      <c r="D80" s="9"/>
      <c r="E80" s="9"/>
      <c r="F80" s="176"/>
      <c r="G80" s="176"/>
      <c r="H80" s="176"/>
      <c r="I80" s="176"/>
      <c r="J80" s="176"/>
      <c r="K80" s="176"/>
      <c r="L80" s="176"/>
      <c r="M80" s="176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3">
      <c r="A81" s="9"/>
      <c r="B81" s="50"/>
      <c r="C81" s="50"/>
      <c r="D81" s="9"/>
      <c r="E81" s="9"/>
      <c r="F81" s="9"/>
      <c r="G81" s="9"/>
      <c r="H81" s="9"/>
      <c r="I81" s="9"/>
      <c r="J81" s="9"/>
      <c r="K81" s="51"/>
      <c r="L81" s="50"/>
      <c r="M81" s="5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3">
      <c r="A82" s="9"/>
      <c r="B82" s="50"/>
      <c r="C82" s="9"/>
      <c r="D82" s="9"/>
      <c r="E82" s="9"/>
      <c r="F82" s="9"/>
      <c r="G82" s="9"/>
      <c r="H82" s="9"/>
      <c r="I82" s="9"/>
      <c r="J82" s="9"/>
      <c r="K82" s="52"/>
      <c r="L82" s="50"/>
      <c r="M82" s="53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x14ac:dyDescent="0.3">
      <c r="A83" s="9"/>
      <c r="B83" s="50"/>
      <c r="C83" s="9"/>
      <c r="D83" s="9"/>
      <c r="E83" s="9"/>
      <c r="F83" s="9"/>
      <c r="G83" s="9"/>
      <c r="H83" s="9"/>
      <c r="I83" s="9"/>
      <c r="J83" s="9"/>
      <c r="K83" s="52"/>
      <c r="L83" s="50"/>
      <c r="M83" s="53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x14ac:dyDescent="0.3">
      <c r="A84" s="9"/>
      <c r="B84" s="50"/>
      <c r="C84" s="9"/>
      <c r="D84" s="9"/>
      <c r="E84" s="9"/>
      <c r="F84" s="9"/>
      <c r="G84" s="9"/>
      <c r="H84" s="9"/>
      <c r="I84" s="9"/>
      <c r="J84" s="9"/>
      <c r="K84" s="52"/>
      <c r="L84" s="50"/>
      <c r="M84" s="53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3">
      <c r="A85" s="9"/>
      <c r="B85" s="50"/>
      <c r="C85" s="9"/>
      <c r="D85" s="9"/>
      <c r="E85" s="9"/>
      <c r="F85" s="9"/>
      <c r="G85" s="9"/>
      <c r="H85" s="9"/>
      <c r="I85" s="9"/>
      <c r="J85" s="9"/>
      <c r="K85" s="52"/>
      <c r="L85" s="50"/>
      <c r="M85" s="53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3">
      <c r="A86" s="9"/>
      <c r="B86" s="50"/>
      <c r="C86" s="53"/>
      <c r="D86" s="9"/>
      <c r="E86" s="9"/>
      <c r="F86" s="9"/>
      <c r="G86" s="9"/>
      <c r="H86" s="9"/>
      <c r="I86" s="9"/>
      <c r="J86" s="9"/>
      <c r="K86" s="52"/>
      <c r="L86" s="50"/>
      <c r="M86" s="53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3">
      <c r="A87" s="9"/>
      <c r="B87" s="9"/>
      <c r="C87" s="9"/>
      <c r="D87" s="9"/>
      <c r="E87" s="9"/>
      <c r="F87" s="10"/>
      <c r="G87" s="10"/>
      <c r="H87" s="10"/>
      <c r="I87" s="10"/>
      <c r="J87" s="10"/>
      <c r="K87" s="10"/>
      <c r="L87" s="18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x14ac:dyDescent="0.3">
      <c r="A88" s="9"/>
      <c r="B88" s="54"/>
      <c r="C88" s="54"/>
      <c r="D88" s="9"/>
      <c r="E88" s="9"/>
      <c r="F88" s="10"/>
      <c r="G88" s="10"/>
      <c r="H88" s="10"/>
      <c r="I88" s="10"/>
      <c r="J88" s="10"/>
      <c r="K88" s="10"/>
      <c r="L88" s="18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x14ac:dyDescent="0.3">
      <c r="A89" s="9"/>
      <c r="B89" s="50"/>
      <c r="C89" s="50"/>
      <c r="D89" s="9"/>
      <c r="E89" s="9"/>
      <c r="F89" s="10"/>
      <c r="G89" s="10"/>
      <c r="H89" s="10"/>
      <c r="I89" s="10"/>
      <c r="J89" s="10"/>
      <c r="K89" s="10"/>
      <c r="L89" s="18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3">
      <c r="A90" s="9"/>
      <c r="B90" s="50"/>
      <c r="C90" s="53"/>
      <c r="D90" s="53"/>
      <c r="E90" s="9"/>
      <c r="F90" s="10"/>
      <c r="G90" s="10"/>
      <c r="H90" s="10"/>
      <c r="I90" s="10"/>
      <c r="J90" s="10"/>
      <c r="K90" s="10"/>
      <c r="L90" s="18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x14ac:dyDescent="0.3">
      <c r="A91" s="9"/>
      <c r="B91" s="50"/>
      <c r="C91" s="53"/>
      <c r="D91" s="53"/>
      <c r="E91" s="9"/>
      <c r="F91" s="10"/>
      <c r="G91" s="10"/>
      <c r="H91" s="10"/>
      <c r="I91" s="10"/>
      <c r="J91" s="10"/>
      <c r="K91" s="10"/>
      <c r="L91" s="18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x14ac:dyDescent="0.3">
      <c r="A92" s="9"/>
      <c r="B92" s="50"/>
      <c r="C92" s="53"/>
      <c r="D92" s="53"/>
      <c r="E92" s="9"/>
      <c r="F92" s="10"/>
      <c r="G92" s="10"/>
      <c r="H92" s="10"/>
      <c r="I92" s="10"/>
      <c r="J92" s="10"/>
      <c r="K92" s="10"/>
      <c r="L92" s="18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x14ac:dyDescent="0.3">
      <c r="A93" s="9"/>
      <c r="B93" s="50"/>
      <c r="C93" s="53"/>
      <c r="D93" s="53"/>
      <c r="E93" s="9"/>
      <c r="F93" s="10"/>
      <c r="G93" s="10"/>
      <c r="H93" s="10"/>
      <c r="I93" s="10"/>
      <c r="J93" s="10"/>
      <c r="K93" s="10"/>
      <c r="L93" s="18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x14ac:dyDescent="0.3">
      <c r="A94" s="9"/>
      <c r="B94" s="50"/>
      <c r="C94" s="53"/>
      <c r="D94" s="55"/>
      <c r="E94" s="9"/>
      <c r="F94" s="10"/>
      <c r="G94" s="10"/>
      <c r="H94" s="10"/>
      <c r="I94" s="10"/>
      <c r="J94" s="10"/>
      <c r="K94" s="10"/>
      <c r="L94" s="18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x14ac:dyDescent="0.3">
      <c r="A95" s="9"/>
      <c r="B95" s="9"/>
      <c r="C95" s="9"/>
      <c r="D95" s="9"/>
      <c r="E95" s="9"/>
      <c r="F95" s="10"/>
      <c r="G95" s="10"/>
      <c r="H95" s="10"/>
      <c r="I95" s="10"/>
      <c r="J95" s="10"/>
      <c r="K95" s="10"/>
      <c r="L95" s="18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3">
      <c r="A96" s="9"/>
      <c r="B96" s="9"/>
      <c r="C96" s="9"/>
      <c r="D96" s="9"/>
      <c r="E96" s="9"/>
      <c r="F96" s="10"/>
      <c r="G96" s="10"/>
      <c r="H96" s="10"/>
      <c r="I96" s="10"/>
      <c r="J96" s="10"/>
      <c r="K96" s="10"/>
      <c r="L96" s="18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x14ac:dyDescent="0.3">
      <c r="A97" s="9"/>
      <c r="B97" s="9"/>
      <c r="C97" s="9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3">
      <c r="A98" s="9"/>
      <c r="B98" s="9"/>
      <c r="C98" s="9"/>
      <c r="D98" s="9"/>
      <c r="E98" s="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x14ac:dyDescent="0.3">
      <c r="A100" s="9"/>
      <c r="B100" s="56"/>
      <c r="C100" s="56"/>
      <c r="D100" s="56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x14ac:dyDescent="0.3">
      <c r="A101" s="9"/>
      <c r="B101" s="56"/>
      <c r="C101" s="56"/>
      <c r="D101" s="56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3">
      <c r="A102" s="9"/>
      <c r="B102" s="56"/>
      <c r="C102" s="56"/>
      <c r="D102" s="56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3">
      <c r="A103" s="9"/>
      <c r="B103" s="56"/>
      <c r="C103" s="56"/>
      <c r="D103" s="56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3">
      <c r="A104" s="9"/>
      <c r="B104" s="56"/>
      <c r="C104" s="56"/>
      <c r="D104" s="56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3">
      <c r="A105" s="9"/>
      <c r="B105" s="9"/>
      <c r="C105" s="9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3">
      <c r="A106" s="9"/>
      <c r="B106" s="53"/>
      <c r="C106" s="53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3">
      <c r="A107" s="9"/>
      <c r="B107" s="9"/>
      <c r="C107" s="9"/>
      <c r="D107" s="9"/>
      <c r="E107" s="9"/>
      <c r="F107" s="10"/>
      <c r="G107" s="10"/>
      <c r="H107" s="10"/>
      <c r="I107" s="10"/>
      <c r="J107" s="10"/>
      <c r="K107" s="10"/>
      <c r="L107" s="18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8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8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x14ac:dyDescent="0.3">
      <c r="A110" s="9"/>
      <c r="B110" s="9"/>
      <c r="C110" s="9"/>
      <c r="D110" s="9"/>
      <c r="E110" s="9"/>
      <c r="F110" s="57"/>
      <c r="G110" s="57"/>
      <c r="H110" s="57"/>
      <c r="I110" s="57"/>
      <c r="J110" s="57"/>
      <c r="K110" s="57"/>
      <c r="L110" s="57"/>
      <c r="M110" s="57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3">
      <c r="A111" s="9"/>
      <c r="B111" s="56"/>
      <c r="C111" s="56"/>
      <c r="D111" s="9"/>
      <c r="E111" s="9"/>
      <c r="F111" s="10"/>
      <c r="G111" s="10"/>
      <c r="H111" s="10"/>
      <c r="I111" s="10"/>
      <c r="J111" s="10"/>
      <c r="K111" s="10"/>
      <c r="L111" s="18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x14ac:dyDescent="0.3">
      <c r="A112" s="9"/>
      <c r="B112" s="56"/>
      <c r="C112" s="56"/>
      <c r="D112" s="9"/>
      <c r="E112" s="9"/>
      <c r="F112" s="10"/>
      <c r="G112" s="10"/>
      <c r="H112" s="10"/>
      <c r="I112" s="10"/>
      <c r="J112" s="10"/>
      <c r="K112" s="10"/>
      <c r="L112" s="18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x14ac:dyDescent="0.3">
      <c r="A113" s="9"/>
      <c r="B113" s="56"/>
      <c r="C113" s="56"/>
      <c r="D113" s="9"/>
      <c r="E113" s="9"/>
      <c r="F113" s="10"/>
      <c r="G113" s="10"/>
      <c r="H113" s="10"/>
      <c r="I113" s="10"/>
      <c r="J113" s="10"/>
      <c r="K113" s="10"/>
      <c r="L113" s="18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x14ac:dyDescent="0.3">
      <c r="A114" s="9"/>
      <c r="B114" s="56"/>
      <c r="C114" s="56"/>
      <c r="D114" s="9"/>
      <c r="E114" s="9"/>
      <c r="F114" s="10"/>
      <c r="G114" s="10"/>
      <c r="H114" s="10"/>
      <c r="I114" s="10"/>
      <c r="J114" s="10"/>
      <c r="K114" s="10"/>
      <c r="L114" s="18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x14ac:dyDescent="0.3">
      <c r="A115" s="9"/>
      <c r="B115" s="56"/>
      <c r="C115" s="56"/>
      <c r="D115" s="9"/>
      <c r="E115" s="9"/>
      <c r="F115" s="10"/>
      <c r="G115" s="10"/>
      <c r="H115" s="10"/>
      <c r="I115" s="10"/>
      <c r="J115" s="10"/>
      <c r="K115" s="10"/>
      <c r="L115" s="18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x14ac:dyDescent="0.3">
      <c r="A116" s="9"/>
      <c r="B116" s="9"/>
      <c r="C116" s="9"/>
      <c r="D116" s="9"/>
      <c r="E116" s="9"/>
      <c r="F116" s="10"/>
      <c r="G116" s="10"/>
      <c r="H116" s="10"/>
      <c r="I116" s="10"/>
      <c r="J116" s="10"/>
      <c r="K116" s="10"/>
      <c r="L116" s="18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x14ac:dyDescent="0.3">
      <c r="A117" s="9"/>
      <c r="B117" s="53"/>
      <c r="C117" s="53"/>
      <c r="D117" s="9"/>
      <c r="E117" s="9"/>
      <c r="F117" s="10"/>
      <c r="G117" s="10"/>
      <c r="H117" s="10"/>
      <c r="I117" s="10"/>
      <c r="J117" s="10"/>
      <c r="K117" s="10"/>
      <c r="L117" s="18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8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8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x14ac:dyDescent="0.3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8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8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8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8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8"/>
      <c r="M124" s="10"/>
      <c r="N124" s="10"/>
      <c r="O124" s="10"/>
      <c r="P124" s="10"/>
      <c r="Q124" s="10"/>
    </row>
    <row r="125" spans="1:23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8"/>
      <c r="M125" s="10"/>
      <c r="N125" s="10"/>
      <c r="O125" s="10"/>
      <c r="P125" s="10"/>
      <c r="Q125" s="10"/>
    </row>
    <row r="126" spans="1:23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8"/>
      <c r="M126" s="10"/>
      <c r="N126" s="10"/>
      <c r="O126" s="10"/>
      <c r="P126" s="10"/>
      <c r="Q126" s="10"/>
    </row>
    <row r="127" spans="1:23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8"/>
      <c r="M127" s="10"/>
      <c r="N127" s="10"/>
      <c r="O127" s="10"/>
      <c r="P127" s="10"/>
      <c r="Q127" s="10"/>
    </row>
    <row r="128" spans="1:23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8"/>
      <c r="M128" s="10"/>
      <c r="N128" s="10"/>
      <c r="O128" s="10"/>
      <c r="P128" s="10"/>
      <c r="Q128" s="10"/>
    </row>
    <row r="129" spans="1:17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8"/>
      <c r="M129" s="10"/>
      <c r="N129" s="10"/>
      <c r="O129" s="10"/>
      <c r="P129" s="10"/>
      <c r="Q129" s="10"/>
    </row>
    <row r="130" spans="1:17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8"/>
      <c r="M130" s="10"/>
      <c r="N130" s="10"/>
      <c r="O130" s="10"/>
      <c r="P130" s="10"/>
      <c r="Q130" s="10"/>
    </row>
    <row r="131" spans="1:17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8"/>
      <c r="M131" s="10"/>
      <c r="N131" s="10"/>
      <c r="O131" s="10"/>
      <c r="P131" s="10"/>
      <c r="Q131" s="10"/>
    </row>
    <row r="132" spans="1:17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8"/>
      <c r="M132" s="10"/>
      <c r="N132" s="10"/>
      <c r="O132" s="10"/>
      <c r="P132" s="10"/>
      <c r="Q132" s="10"/>
    </row>
    <row r="133" spans="1:17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8"/>
      <c r="M133" s="10"/>
      <c r="N133" s="10"/>
      <c r="O133" s="10"/>
      <c r="P133" s="10"/>
      <c r="Q133" s="10"/>
    </row>
    <row r="134" spans="1:17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8"/>
      <c r="M134" s="10"/>
      <c r="N134" s="10"/>
      <c r="O134" s="10"/>
      <c r="P134" s="10"/>
      <c r="Q134" s="10"/>
    </row>
    <row r="135" spans="1:17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8"/>
      <c r="M135" s="10"/>
      <c r="N135" s="10"/>
      <c r="O135" s="10"/>
      <c r="P135" s="10"/>
      <c r="Q135" s="10"/>
    </row>
    <row r="136" spans="1:17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8"/>
      <c r="M136" s="10"/>
      <c r="N136" s="10"/>
      <c r="O136" s="10"/>
      <c r="P136" s="10"/>
      <c r="Q136" s="10"/>
    </row>
    <row r="137" spans="1:17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8"/>
      <c r="M137" s="10"/>
      <c r="N137" s="10"/>
      <c r="O137" s="10"/>
      <c r="P137" s="10"/>
      <c r="Q137" s="10"/>
    </row>
    <row r="138" spans="1:17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8"/>
      <c r="M138" s="10"/>
      <c r="N138" s="10"/>
      <c r="O138" s="10"/>
      <c r="P138" s="10"/>
      <c r="Q138" s="10"/>
    </row>
    <row r="139" spans="1:17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8"/>
      <c r="M139" s="10"/>
      <c r="N139" s="10"/>
      <c r="O139" s="10"/>
      <c r="P139" s="10"/>
      <c r="Q139" s="10"/>
    </row>
    <row r="140" spans="1:17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8"/>
      <c r="M140" s="10"/>
      <c r="N140" s="10"/>
      <c r="O140" s="10"/>
      <c r="P140" s="10"/>
      <c r="Q140" s="10"/>
    </row>
    <row r="141" spans="1:17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8"/>
      <c r="M141" s="10"/>
      <c r="N141" s="10"/>
      <c r="O141" s="10"/>
      <c r="P141" s="10"/>
      <c r="Q141" s="10"/>
    </row>
    <row r="142" spans="1:17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8"/>
      <c r="M142" s="10"/>
      <c r="N142" s="10"/>
      <c r="O142" s="10"/>
      <c r="P142" s="10"/>
      <c r="Q142" s="10"/>
    </row>
    <row r="143" spans="1:17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8"/>
      <c r="M143" s="10"/>
      <c r="N143" s="10"/>
      <c r="O143" s="10"/>
      <c r="P143" s="10"/>
      <c r="Q143" s="10"/>
    </row>
    <row r="144" spans="1:17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8"/>
      <c r="M144" s="10"/>
      <c r="N144" s="10"/>
      <c r="O144" s="10"/>
      <c r="P144" s="10"/>
      <c r="Q144" s="10"/>
    </row>
    <row r="145" spans="1:17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8"/>
      <c r="M145" s="10"/>
      <c r="N145" s="10"/>
      <c r="O145" s="10"/>
      <c r="P145" s="10"/>
      <c r="Q145" s="10"/>
    </row>
    <row r="146" spans="1:17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8"/>
      <c r="M146" s="10"/>
      <c r="N146" s="10"/>
      <c r="O146" s="10"/>
      <c r="P146" s="10"/>
      <c r="Q146" s="10"/>
    </row>
    <row r="147" spans="1:17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8"/>
      <c r="M147" s="10"/>
      <c r="N147" s="10"/>
      <c r="O147" s="10"/>
      <c r="P147" s="10"/>
      <c r="Q147" s="10"/>
    </row>
    <row r="148" spans="1:17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8"/>
      <c r="M148" s="10"/>
      <c r="N148" s="10"/>
      <c r="O148" s="10"/>
      <c r="P148" s="10"/>
      <c r="Q148" s="10"/>
    </row>
    <row r="149" spans="1:17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8"/>
      <c r="M149" s="10"/>
      <c r="N149" s="10"/>
      <c r="O149" s="10"/>
      <c r="P149" s="10"/>
      <c r="Q149" s="10"/>
    </row>
    <row r="150" spans="1:17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8"/>
      <c r="M150" s="10"/>
      <c r="N150" s="10"/>
      <c r="O150" s="10"/>
      <c r="P150" s="10"/>
      <c r="Q150" s="10"/>
    </row>
    <row r="151" spans="1:17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8"/>
      <c r="M151" s="10"/>
      <c r="N151" s="10"/>
      <c r="O151" s="10"/>
      <c r="P151" s="10"/>
      <c r="Q151" s="10"/>
    </row>
    <row r="152" spans="1:17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8"/>
      <c r="M152" s="10"/>
      <c r="N152" s="10"/>
      <c r="O152" s="10"/>
      <c r="P152" s="10"/>
      <c r="Q152" s="10"/>
    </row>
    <row r="153" spans="1:17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8"/>
      <c r="M153" s="10"/>
      <c r="N153" s="10"/>
      <c r="O153" s="10"/>
      <c r="P153" s="10"/>
      <c r="Q153" s="10"/>
    </row>
    <row r="154" spans="1:17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8"/>
      <c r="M154" s="10"/>
      <c r="N154" s="10"/>
      <c r="O154" s="10"/>
      <c r="P154" s="10"/>
      <c r="Q154" s="10"/>
    </row>
    <row r="155" spans="1:17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8"/>
      <c r="M155" s="10"/>
      <c r="N155" s="10"/>
      <c r="O155" s="10"/>
      <c r="P155" s="10"/>
      <c r="Q155" s="10"/>
    </row>
    <row r="156" spans="1:17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8"/>
      <c r="M156" s="10"/>
      <c r="N156" s="10"/>
      <c r="O156" s="10"/>
      <c r="P156" s="10"/>
      <c r="Q156" s="10"/>
    </row>
    <row r="157" spans="1:17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8"/>
      <c r="M157" s="10"/>
      <c r="N157" s="10"/>
      <c r="O157" s="10"/>
      <c r="P157" s="10"/>
      <c r="Q157" s="10"/>
    </row>
    <row r="158" spans="1:17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8"/>
      <c r="M158" s="10"/>
      <c r="N158" s="10"/>
      <c r="O158" s="10"/>
      <c r="P158" s="10"/>
      <c r="Q158" s="10"/>
    </row>
    <row r="159" spans="1:17" x14ac:dyDescent="0.3">
      <c r="A159" s="10"/>
    </row>
  </sheetData>
  <mergeCells count="2">
    <mergeCell ref="B80:C80"/>
    <mergeCell ref="F80:M80"/>
  </mergeCells>
  <hyperlinks>
    <hyperlink ref="K13" r:id="rId1" xr:uid="{00000000-0004-0000-0100-000000000000}"/>
  </hyperlinks>
  <pageMargins left="0.7" right="0.7" top="0.75" bottom="0.75" header="0.3" footer="0.3"/>
  <pageSetup scale="51" orientation="landscape" r:id="rId2"/>
  <ignoredErrors>
    <ignoredError sqref="I6:I7" formulaRange="1"/>
    <ignoredError sqref="C10:C11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22"/>
  <sheetViews>
    <sheetView tabSelected="1" topLeftCell="I1" zoomScaleNormal="100" workbookViewId="0">
      <pane ySplit="5" topLeftCell="A6" activePane="bottomLeft" state="frozen"/>
      <selection activeCell="J25" sqref="J25"/>
      <selection pane="bottomLeft" activeCell="P53" sqref="P53"/>
    </sheetView>
  </sheetViews>
  <sheetFormatPr defaultColWidth="41" defaultRowHeight="13.8" x14ac:dyDescent="0.3"/>
  <cols>
    <col min="1" max="1" width="41" style="77"/>
    <col min="2" max="10" width="10.109375" style="77" customWidth="1"/>
    <col min="11" max="11" width="10.109375" style="78" customWidth="1"/>
    <col min="12" max="12" width="79.88671875" style="77" customWidth="1"/>
    <col min="13" max="13" width="6.6640625" style="77" bestFit="1" customWidth="1"/>
    <col min="14" max="14" width="6.6640625" style="77" customWidth="1"/>
    <col min="15" max="15" width="6.6640625" style="77" bestFit="1" customWidth="1"/>
    <col min="16" max="16" width="16.5546875" style="77" bestFit="1" customWidth="1"/>
    <col min="17" max="17" width="6.6640625" style="77" bestFit="1" customWidth="1"/>
    <col min="18" max="18" width="7.6640625" style="77" customWidth="1"/>
    <col min="19" max="19" width="9.109375" style="77" customWidth="1"/>
    <col min="20" max="20" width="11.88671875" style="77" customWidth="1"/>
    <col min="21" max="16384" width="41" style="77"/>
  </cols>
  <sheetData>
    <row r="1" spans="1:19" x14ac:dyDescent="0.3">
      <c r="A1" s="74" t="str">
        <f>'2021 Final'!A1</f>
        <v xml:space="preserve">2021 Willamette Spring Chinook Return to Columbia River        </v>
      </c>
      <c r="B1" s="75"/>
      <c r="C1" s="75"/>
      <c r="D1" s="75"/>
      <c r="E1" s="75"/>
      <c r="F1" s="76"/>
    </row>
    <row r="2" spans="1:19" x14ac:dyDescent="0.3">
      <c r="A2" s="78"/>
      <c r="B2" s="78"/>
      <c r="C2" s="78"/>
      <c r="D2" s="78"/>
      <c r="E2" s="78"/>
      <c r="F2" s="78"/>
    </row>
    <row r="3" spans="1:19" x14ac:dyDescent="0.3">
      <c r="A3" s="79"/>
      <c r="B3" s="78"/>
      <c r="C3" s="78"/>
      <c r="D3" s="78"/>
      <c r="E3" s="78"/>
      <c r="F3" s="78"/>
    </row>
    <row r="4" spans="1:19" x14ac:dyDescent="0.3">
      <c r="A4" s="137" t="s">
        <v>0</v>
      </c>
      <c r="B4" s="13">
        <v>2018</v>
      </c>
      <c r="C4" s="13">
        <v>2017</v>
      </c>
      <c r="D4" s="13">
        <v>2016</v>
      </c>
      <c r="E4" s="13">
        <v>2015</v>
      </c>
      <c r="F4" s="10"/>
      <c r="G4" s="110"/>
      <c r="H4" s="110"/>
      <c r="I4" s="110"/>
      <c r="J4" s="110"/>
      <c r="K4" s="112"/>
    </row>
    <row r="5" spans="1:19" x14ac:dyDescent="0.3">
      <c r="A5" s="138" t="s">
        <v>1</v>
      </c>
      <c r="B5" s="17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39" t="s">
        <v>47</v>
      </c>
      <c r="H5" s="139" t="s">
        <v>48</v>
      </c>
      <c r="I5" s="139" t="s">
        <v>26</v>
      </c>
      <c r="J5" s="139" t="s">
        <v>88</v>
      </c>
      <c r="K5" s="140" t="s">
        <v>89</v>
      </c>
      <c r="L5" s="84"/>
    </row>
    <row r="6" spans="1:19" x14ac:dyDescent="0.3">
      <c r="A6" s="78" t="s">
        <v>7</v>
      </c>
      <c r="B6" s="92">
        <f>Worksheet!B6</f>
        <v>0</v>
      </c>
      <c r="C6" s="92">
        <f>Worksheet!C6</f>
        <v>148</v>
      </c>
      <c r="D6" s="92">
        <f>Worksheet!D6</f>
        <v>114</v>
      </c>
      <c r="E6" s="92">
        <f>Worksheet!E6</f>
        <v>0</v>
      </c>
      <c r="F6" s="147">
        <f>Worksheet!F6</f>
        <v>262</v>
      </c>
      <c r="G6" s="115">
        <f>ROUND((F7)/((+F7)+(F8*10))*F6,0)</f>
        <v>232</v>
      </c>
      <c r="H6" s="115">
        <f>F6-G6</f>
        <v>30</v>
      </c>
      <c r="I6" s="170">
        <f>F6-B6</f>
        <v>262</v>
      </c>
      <c r="J6" s="115">
        <f>G6</f>
        <v>232</v>
      </c>
      <c r="K6" s="92">
        <f>H6</f>
        <v>30</v>
      </c>
      <c r="L6" s="87"/>
      <c r="N6" s="88"/>
    </row>
    <row r="7" spans="1:19" x14ac:dyDescent="0.3">
      <c r="A7" s="78" t="s">
        <v>8</v>
      </c>
      <c r="B7" s="92">
        <f>Worksheet!B7</f>
        <v>15</v>
      </c>
      <c r="C7" s="92">
        <f>Worksheet!C7</f>
        <v>818</v>
      </c>
      <c r="D7" s="92">
        <f>Worksheet!D7</f>
        <v>255</v>
      </c>
      <c r="E7" s="92">
        <f>Worksheet!E7</f>
        <v>0</v>
      </c>
      <c r="F7" s="147">
        <f>Worksheet!F7</f>
        <v>1088</v>
      </c>
      <c r="G7" s="94">
        <f>F7</f>
        <v>1088</v>
      </c>
      <c r="I7" s="170">
        <f t="shared" ref="I7:I13" si="0">F7-B7</f>
        <v>1073</v>
      </c>
      <c r="J7" s="84">
        <f>I7</f>
        <v>1073</v>
      </c>
      <c r="L7" s="88"/>
      <c r="M7" s="88">
        <f>F7/((F7+(F8/0.1)))</f>
        <v>0.88599348534201949</v>
      </c>
      <c r="N7" s="91"/>
    </row>
    <row r="8" spans="1:19" x14ac:dyDescent="0.3">
      <c r="A8" s="78" t="s">
        <v>9</v>
      </c>
      <c r="B8" s="92">
        <f>Worksheet!B8</f>
        <v>0</v>
      </c>
      <c r="C8" s="92">
        <f>Worksheet!C8</f>
        <v>10</v>
      </c>
      <c r="D8" s="92">
        <f>Worksheet!D8</f>
        <v>4</v>
      </c>
      <c r="E8" s="92">
        <f>Worksheet!E8</f>
        <v>0</v>
      </c>
      <c r="F8" s="147">
        <f>Worksheet!F8</f>
        <v>14</v>
      </c>
      <c r="H8" s="94">
        <f>F8</f>
        <v>14</v>
      </c>
      <c r="I8" s="170">
        <f t="shared" si="0"/>
        <v>14</v>
      </c>
      <c r="J8" s="94"/>
      <c r="K8" s="92">
        <f>I8</f>
        <v>14</v>
      </c>
      <c r="L8" s="93"/>
      <c r="M8" s="93"/>
      <c r="N8" s="93"/>
    </row>
    <row r="9" spans="1:19" x14ac:dyDescent="0.3">
      <c r="A9" s="78" t="s">
        <v>10</v>
      </c>
      <c r="B9" s="92">
        <f>Worksheet!B9</f>
        <v>75</v>
      </c>
      <c r="C9" s="92">
        <f>Worksheet!C9</f>
        <v>4497</v>
      </c>
      <c r="D9" s="92">
        <f>Worksheet!D9</f>
        <v>1762</v>
      </c>
      <c r="E9" s="92">
        <f>Worksheet!E9</f>
        <v>0</v>
      </c>
      <c r="F9" s="147">
        <f>Worksheet!F9</f>
        <v>6334</v>
      </c>
      <c r="G9" s="94">
        <f>F9</f>
        <v>6334</v>
      </c>
      <c r="H9" s="89"/>
      <c r="I9" s="170">
        <f t="shared" si="0"/>
        <v>6259</v>
      </c>
      <c r="J9" s="84">
        <f>I9</f>
        <v>6259</v>
      </c>
      <c r="K9" s="90"/>
      <c r="L9" s="93"/>
      <c r="M9" s="88">
        <f>F9/((F9+(F10/0.122)))</f>
        <v>0.84754559373862071</v>
      </c>
      <c r="N9" s="93"/>
    </row>
    <row r="10" spans="1:19" x14ac:dyDescent="0.3">
      <c r="A10" s="78" t="s">
        <v>30</v>
      </c>
      <c r="B10" s="92">
        <f>Worksheet!B10</f>
        <v>2</v>
      </c>
      <c r="C10" s="92">
        <f>Worksheet!C10</f>
        <v>98</v>
      </c>
      <c r="D10" s="92">
        <f>Worksheet!D10</f>
        <v>39</v>
      </c>
      <c r="E10" s="92">
        <f>Worksheet!E10</f>
        <v>0</v>
      </c>
      <c r="F10" s="147">
        <f>Worksheet!F10</f>
        <v>139</v>
      </c>
      <c r="G10" s="89"/>
      <c r="H10" s="94">
        <f>F10</f>
        <v>139</v>
      </c>
      <c r="I10" s="170">
        <f t="shared" si="0"/>
        <v>137</v>
      </c>
      <c r="J10" s="94"/>
      <c r="K10" s="92">
        <f>I10</f>
        <v>137</v>
      </c>
      <c r="L10" s="93"/>
      <c r="M10" s="93"/>
      <c r="N10" s="93"/>
    </row>
    <row r="11" spans="1:19" x14ac:dyDescent="0.3">
      <c r="A11" s="78" t="s">
        <v>11</v>
      </c>
      <c r="B11" s="92">
        <f>Worksheet!B11</f>
        <v>1</v>
      </c>
      <c r="C11" s="92">
        <f>Worksheet!C11</f>
        <v>2</v>
      </c>
      <c r="D11" s="92">
        <f>Worksheet!D11</f>
        <v>2</v>
      </c>
      <c r="E11" s="92">
        <f>Worksheet!E11</f>
        <v>0</v>
      </c>
      <c r="F11" s="147">
        <f>Worksheet!F11</f>
        <v>5</v>
      </c>
      <c r="G11" s="94">
        <f>F11</f>
        <v>5</v>
      </c>
      <c r="H11" s="89"/>
      <c r="I11" s="170">
        <f t="shared" si="0"/>
        <v>4</v>
      </c>
      <c r="J11" s="84">
        <f>I11</f>
        <v>4</v>
      </c>
      <c r="K11" s="90"/>
    </row>
    <row r="12" spans="1:19" x14ac:dyDescent="0.3">
      <c r="A12" s="78" t="s">
        <v>31</v>
      </c>
      <c r="B12" s="92">
        <f>Worksheet!B12</f>
        <v>0</v>
      </c>
      <c r="C12" s="92">
        <f>Worksheet!C12</f>
        <v>1</v>
      </c>
      <c r="D12" s="92">
        <f>Worksheet!D12</f>
        <v>0</v>
      </c>
      <c r="E12" s="92">
        <f>Worksheet!E12</f>
        <v>0</v>
      </c>
      <c r="F12" s="147">
        <f>Worksheet!F12</f>
        <v>1</v>
      </c>
      <c r="H12" s="94">
        <f>F12</f>
        <v>1</v>
      </c>
      <c r="I12" s="170">
        <f t="shared" si="0"/>
        <v>1</v>
      </c>
      <c r="J12" s="94"/>
      <c r="K12" s="92">
        <f>I12</f>
        <v>1</v>
      </c>
    </row>
    <row r="13" spans="1:19" x14ac:dyDescent="0.3">
      <c r="A13" s="78" t="s">
        <v>59</v>
      </c>
      <c r="B13" s="92">
        <f>Worksheet!B13</f>
        <v>0</v>
      </c>
      <c r="C13" s="92">
        <f>Worksheet!C13</f>
        <v>0</v>
      </c>
      <c r="D13" s="92">
        <f>Worksheet!D13</f>
        <v>0</v>
      </c>
      <c r="E13" s="92">
        <f>Worksheet!E13</f>
        <v>0</v>
      </c>
      <c r="F13" s="147">
        <f>Worksheet!F13</f>
        <v>0</v>
      </c>
      <c r="G13" s="94">
        <f>F13</f>
        <v>0</v>
      </c>
      <c r="H13" s="94">
        <f>F13</f>
        <v>0</v>
      </c>
      <c r="I13" s="170">
        <f t="shared" si="0"/>
        <v>0</v>
      </c>
      <c r="J13" s="94">
        <f>I13</f>
        <v>0</v>
      </c>
      <c r="K13" s="92">
        <f>I13</f>
        <v>0</v>
      </c>
      <c r="Q13" s="94"/>
      <c r="R13" s="94"/>
      <c r="S13" s="95"/>
    </row>
    <row r="14" spans="1:19" ht="14.4" thickBot="1" x14ac:dyDescent="0.35">
      <c r="A14" s="78"/>
      <c r="B14" s="90"/>
      <c r="C14" s="90"/>
      <c r="D14" s="90"/>
      <c r="E14" s="96"/>
      <c r="F14" s="97"/>
      <c r="G14" s="98"/>
      <c r="H14" s="98"/>
      <c r="I14" s="98"/>
      <c r="J14" s="98"/>
      <c r="K14" s="96"/>
    </row>
    <row r="15" spans="1:19" ht="14.4" thickTop="1" x14ac:dyDescent="0.3">
      <c r="A15" s="99" t="s">
        <v>12</v>
      </c>
      <c r="B15" s="160">
        <f t="shared" ref="B15:K15" si="1">SUM(B6:B13)</f>
        <v>93</v>
      </c>
      <c r="C15" s="160">
        <f t="shared" si="1"/>
        <v>5574</v>
      </c>
      <c r="D15" s="160">
        <f t="shared" si="1"/>
        <v>2176</v>
      </c>
      <c r="E15" s="160">
        <f t="shared" si="1"/>
        <v>0</v>
      </c>
      <c r="F15" s="147">
        <f t="shared" si="1"/>
        <v>7843</v>
      </c>
      <c r="G15" s="92">
        <f t="shared" si="1"/>
        <v>7659</v>
      </c>
      <c r="H15" s="92">
        <f t="shared" si="1"/>
        <v>184</v>
      </c>
      <c r="I15" s="169">
        <f t="shared" si="1"/>
        <v>7750</v>
      </c>
      <c r="J15" s="92">
        <f t="shared" si="1"/>
        <v>7568</v>
      </c>
      <c r="K15" s="92">
        <f t="shared" si="1"/>
        <v>182</v>
      </c>
    </row>
    <row r="16" spans="1:19" x14ac:dyDescent="0.3">
      <c r="B16" s="89"/>
      <c r="C16" s="89"/>
      <c r="D16" s="89"/>
      <c r="E16" s="89"/>
      <c r="F16" s="103"/>
      <c r="G16" s="89"/>
      <c r="H16" s="89"/>
      <c r="I16" s="89"/>
      <c r="J16" s="89"/>
      <c r="K16" s="90"/>
    </row>
    <row r="17" spans="1:20" x14ac:dyDescent="0.3">
      <c r="A17" s="78"/>
      <c r="B17" s="90"/>
      <c r="C17" s="90"/>
      <c r="D17" s="90" t="s">
        <v>13</v>
      </c>
      <c r="E17" s="90"/>
      <c r="F17" s="106"/>
      <c r="G17" s="89"/>
      <c r="H17" s="89"/>
      <c r="I17" s="89"/>
      <c r="J17" s="89"/>
      <c r="K17" s="90"/>
    </row>
    <row r="18" spans="1:20" x14ac:dyDescent="0.3">
      <c r="A18" s="81" t="s">
        <v>14</v>
      </c>
      <c r="B18" s="109"/>
      <c r="C18" s="109"/>
      <c r="D18" s="109"/>
      <c r="E18" s="109"/>
      <c r="F18" s="109"/>
      <c r="G18" s="142"/>
      <c r="H18" s="142"/>
      <c r="I18" s="142"/>
      <c r="J18" s="142"/>
      <c r="K18" s="141"/>
      <c r="O18" s="110"/>
    </row>
    <row r="19" spans="1:20" x14ac:dyDescent="0.3">
      <c r="A19" s="78" t="s">
        <v>32</v>
      </c>
      <c r="B19" s="92">
        <f>Worksheet!B19</f>
        <v>1379</v>
      </c>
      <c r="C19" s="92">
        <f>Worksheet!C19</f>
        <v>20581</v>
      </c>
      <c r="D19" s="92">
        <f>Worksheet!D19</f>
        <v>8065</v>
      </c>
      <c r="E19" s="92">
        <f>Worksheet!E19</f>
        <v>0</v>
      </c>
      <c r="F19" s="147">
        <f>Worksheet!F19</f>
        <v>30025</v>
      </c>
      <c r="G19" s="92">
        <f>24135+1267</f>
        <v>25402</v>
      </c>
      <c r="H19" s="92">
        <f>4511+112</f>
        <v>4623</v>
      </c>
      <c r="I19" s="169">
        <f>F19-B19</f>
        <v>28646</v>
      </c>
      <c r="J19" s="94">
        <v>24135</v>
      </c>
      <c r="K19" s="92">
        <v>4511</v>
      </c>
      <c r="L19" s="77" t="s">
        <v>100</v>
      </c>
      <c r="O19" s="100">
        <f>G19/F19</f>
        <v>0.84602830974188181</v>
      </c>
      <c r="P19" s="101" t="s">
        <v>50</v>
      </c>
      <c r="Q19" s="112"/>
      <c r="R19" s="102" t="s">
        <v>63</v>
      </c>
      <c r="S19" s="102"/>
      <c r="T19" s="102"/>
    </row>
    <row r="20" spans="1:20" x14ac:dyDescent="0.3">
      <c r="A20" s="78" t="s">
        <v>15</v>
      </c>
      <c r="B20" s="92">
        <f>Worksheet!B20</f>
        <v>2</v>
      </c>
      <c r="C20" s="92">
        <f>Worksheet!C20</f>
        <v>135</v>
      </c>
      <c r="D20" s="92">
        <f>Worksheet!D20</f>
        <v>53</v>
      </c>
      <c r="E20" s="92">
        <f>Worksheet!E20</f>
        <v>0</v>
      </c>
      <c r="F20" s="147">
        <f>Worksheet!F20</f>
        <v>190</v>
      </c>
      <c r="G20" s="92">
        <f>F20*O19</f>
        <v>160.74537885095754</v>
      </c>
      <c r="H20" s="92">
        <f>F20*O20</f>
        <v>29.254621149042467</v>
      </c>
      <c r="I20" s="169">
        <f t="shared" ref="I20:I27" si="2">F20-B20</f>
        <v>188</v>
      </c>
      <c r="J20" s="94">
        <f>I20*O19</f>
        <v>159.05332223147377</v>
      </c>
      <c r="K20" s="92">
        <f>I20*O20</f>
        <v>28.946677768526229</v>
      </c>
      <c r="L20" s="77" t="s">
        <v>109</v>
      </c>
      <c r="O20" s="104">
        <f>H19/F19</f>
        <v>0.15397169025811824</v>
      </c>
      <c r="P20" s="102" t="s">
        <v>49</v>
      </c>
      <c r="Q20" s="78"/>
      <c r="R20" s="105" t="s">
        <v>60</v>
      </c>
      <c r="S20" s="105" t="s">
        <v>61</v>
      </c>
      <c r="T20" s="105" t="s">
        <v>62</v>
      </c>
    </row>
    <row r="21" spans="1:20" x14ac:dyDescent="0.3">
      <c r="A21" s="78" t="s">
        <v>33</v>
      </c>
      <c r="B21" s="92">
        <f>Worksheet!B21</f>
        <v>144</v>
      </c>
      <c r="C21" s="92">
        <f>Worksheet!C21</f>
        <v>196</v>
      </c>
      <c r="D21" s="92">
        <f>Worksheet!D21</f>
        <v>137</v>
      </c>
      <c r="E21" s="92">
        <f>Worksheet!E21</f>
        <v>0</v>
      </c>
      <c r="F21" s="147">
        <f>Worksheet!F21</f>
        <v>477</v>
      </c>
      <c r="G21" s="94">
        <f>F21-H21</f>
        <v>472</v>
      </c>
      <c r="H21" s="77">
        <v>5</v>
      </c>
      <c r="I21" s="169">
        <f t="shared" si="2"/>
        <v>333</v>
      </c>
      <c r="J21" s="94">
        <v>328</v>
      </c>
      <c r="K21" s="78">
        <v>5</v>
      </c>
      <c r="L21" s="77" t="s">
        <v>101</v>
      </c>
      <c r="R21" s="107">
        <f>G11+G12+G21+G22+G23+G24+G25</f>
        <v>668</v>
      </c>
      <c r="S21" s="107">
        <f>H11+H12+H21+H22+H23+H24+H25</f>
        <v>3065</v>
      </c>
      <c r="T21" s="108">
        <f>R21/(R21+S21)</f>
        <v>0.17894454862041254</v>
      </c>
    </row>
    <row r="22" spans="1:20" x14ac:dyDescent="0.3">
      <c r="A22" s="78" t="s">
        <v>34</v>
      </c>
      <c r="B22" s="92">
        <f>Worksheet!B22</f>
        <v>15</v>
      </c>
      <c r="C22" s="92">
        <f>Worksheet!C22</f>
        <v>97</v>
      </c>
      <c r="D22" s="92">
        <f>Worksheet!D22</f>
        <v>68</v>
      </c>
      <c r="E22" s="92">
        <f>Worksheet!E22</f>
        <v>0</v>
      </c>
      <c r="F22" s="147">
        <f>Worksheet!F22</f>
        <v>180</v>
      </c>
      <c r="G22" s="94">
        <f>F22-H22</f>
        <v>169</v>
      </c>
      <c r="H22" s="77">
        <v>11</v>
      </c>
      <c r="I22" s="169">
        <f t="shared" si="2"/>
        <v>165</v>
      </c>
      <c r="J22" s="94">
        <f>I22-K22</f>
        <v>154</v>
      </c>
      <c r="K22" s="91">
        <v>11</v>
      </c>
      <c r="L22" s="77" t="s">
        <v>101</v>
      </c>
      <c r="R22" s="78"/>
    </row>
    <row r="23" spans="1:20" x14ac:dyDescent="0.3">
      <c r="A23" s="78" t="s">
        <v>28</v>
      </c>
      <c r="B23" s="92">
        <f>Worksheet!B23</f>
        <v>0</v>
      </c>
      <c r="C23" s="92">
        <f>Worksheet!C23</f>
        <v>13</v>
      </c>
      <c r="D23" s="92">
        <f>Worksheet!D23</f>
        <v>9</v>
      </c>
      <c r="E23" s="92">
        <f>Worksheet!E23</f>
        <v>0</v>
      </c>
      <c r="F23" s="147">
        <f>Worksheet!F23</f>
        <v>22</v>
      </c>
      <c r="G23" s="94">
        <f>F23</f>
        <v>22</v>
      </c>
      <c r="H23" s="89"/>
      <c r="I23" s="169">
        <f t="shared" si="2"/>
        <v>22</v>
      </c>
      <c r="J23" s="94">
        <f>I23</f>
        <v>22</v>
      </c>
      <c r="K23" s="90"/>
      <c r="L23" s="77" t="s">
        <v>101</v>
      </c>
      <c r="M23" s="78"/>
      <c r="N23" s="78"/>
      <c r="R23" s="78"/>
      <c r="S23" s="78"/>
      <c r="T23" s="78"/>
    </row>
    <row r="24" spans="1:20" s="78" customFormat="1" x14ac:dyDescent="0.3">
      <c r="A24" s="78" t="s">
        <v>35</v>
      </c>
      <c r="B24" s="92">
        <f>Worksheet!B24</f>
        <v>191</v>
      </c>
      <c r="C24" s="92">
        <f>Worksheet!C24</f>
        <v>1681</v>
      </c>
      <c r="D24" s="92">
        <f>Worksheet!D24</f>
        <v>1176</v>
      </c>
      <c r="E24" s="92">
        <f>Worksheet!E24</f>
        <v>0</v>
      </c>
      <c r="F24" s="147">
        <f>Worksheet!F24</f>
        <v>3048</v>
      </c>
      <c r="G24" s="94"/>
      <c r="H24" s="94">
        <f>F24</f>
        <v>3048</v>
      </c>
      <c r="I24" s="169">
        <f t="shared" si="2"/>
        <v>2857</v>
      </c>
      <c r="J24" s="92"/>
      <c r="K24" s="92">
        <f>I24</f>
        <v>2857</v>
      </c>
      <c r="L24" s="111" t="s">
        <v>102</v>
      </c>
      <c r="M24" s="112"/>
      <c r="N24" s="112"/>
    </row>
    <row r="25" spans="1:20" s="78" customFormat="1" x14ac:dyDescent="0.3">
      <c r="A25" s="78" t="s">
        <v>29</v>
      </c>
      <c r="B25" s="92">
        <f>Worksheet!B25</f>
        <v>0</v>
      </c>
      <c r="C25" s="92">
        <f>Worksheet!C25</f>
        <v>0</v>
      </c>
      <c r="D25" s="92">
        <f>Worksheet!D25</f>
        <v>0</v>
      </c>
      <c r="E25" s="92">
        <f>Worksheet!E25</f>
        <v>0</v>
      </c>
      <c r="F25" s="147">
        <f>Worksheet!F25</f>
        <v>0</v>
      </c>
      <c r="G25" s="94">
        <f>F25</f>
        <v>0</v>
      </c>
      <c r="I25" s="169">
        <f t="shared" si="2"/>
        <v>0</v>
      </c>
      <c r="J25" s="92">
        <f>I25</f>
        <v>0</v>
      </c>
      <c r="L25" s="111" t="s">
        <v>102</v>
      </c>
    </row>
    <row r="26" spans="1:20" s="78" customFormat="1" x14ac:dyDescent="0.3">
      <c r="A26" s="78" t="s">
        <v>16</v>
      </c>
      <c r="B26" s="92">
        <f>Worksheet!B26</f>
        <v>0</v>
      </c>
      <c r="C26" s="92">
        <f>Worksheet!C26</f>
        <v>0</v>
      </c>
      <c r="D26" s="92">
        <f>Worksheet!D26</f>
        <v>0</v>
      </c>
      <c r="E26" s="92">
        <f>Worksheet!E26</f>
        <v>0</v>
      </c>
      <c r="F26" s="147">
        <f>Worksheet!F26</f>
        <v>0</v>
      </c>
      <c r="G26" s="92">
        <f>F26*T21</f>
        <v>0</v>
      </c>
      <c r="H26" s="94">
        <f>F26-G26</f>
        <v>0</v>
      </c>
      <c r="I26" s="169">
        <f t="shared" si="2"/>
        <v>0</v>
      </c>
      <c r="J26" s="92"/>
      <c r="K26" s="92">
        <f>ROUND((F26-B26)*(1-T21),0)</f>
        <v>0</v>
      </c>
      <c r="L26" s="111" t="s">
        <v>46</v>
      </c>
      <c r="Q26" s="94"/>
      <c r="R26" s="77"/>
      <c r="S26" s="77"/>
      <c r="T26" s="77"/>
    </row>
    <row r="27" spans="1:20" x14ac:dyDescent="0.3">
      <c r="A27" s="113" t="s">
        <v>36</v>
      </c>
      <c r="B27" s="92">
        <f>Worksheet!B27</f>
        <v>16</v>
      </c>
      <c r="C27" s="92">
        <f>Worksheet!C27</f>
        <v>968</v>
      </c>
      <c r="D27" s="92">
        <f>Worksheet!D27</f>
        <v>379</v>
      </c>
      <c r="E27" s="92">
        <f>Worksheet!E27</f>
        <v>0</v>
      </c>
      <c r="F27" s="147">
        <f>Worksheet!F27</f>
        <v>1363</v>
      </c>
      <c r="G27" s="92">
        <f>F27*O28</f>
        <v>1143.8833189282627</v>
      </c>
      <c r="H27" s="92">
        <f>F27*O27</f>
        <v>219.11668107173728</v>
      </c>
      <c r="I27" s="169">
        <f t="shared" si="2"/>
        <v>1347</v>
      </c>
      <c r="J27" s="92">
        <f>(1-Worksheet!B63)*G27</f>
        <v>1130.3854957649091</v>
      </c>
      <c r="K27" s="92">
        <f>(1-Worksheet!B63)*H27</f>
        <v>216.53110423509077</v>
      </c>
      <c r="L27" s="94" t="s">
        <v>114</v>
      </c>
      <c r="O27" s="108">
        <f>186/(186+971)</f>
        <v>0.16076058772687987</v>
      </c>
      <c r="P27" s="101" t="s">
        <v>111</v>
      </c>
      <c r="Q27" s="102"/>
      <c r="R27" s="102"/>
    </row>
    <row r="28" spans="1:20" ht="14.4" thickBot="1" x14ac:dyDescent="0.35">
      <c r="A28" s="78"/>
      <c r="B28" s="90"/>
      <c r="C28" s="90"/>
      <c r="D28" s="90"/>
      <c r="E28" s="96"/>
      <c r="F28" s="114"/>
      <c r="G28" s="98"/>
      <c r="H28" s="98"/>
      <c r="I28" s="98"/>
      <c r="J28" s="98"/>
      <c r="K28" s="96"/>
      <c r="O28" s="108">
        <f>971/(186+971)</f>
        <v>0.83923941227312016</v>
      </c>
      <c r="P28" s="102" t="s">
        <v>112</v>
      </c>
      <c r="Q28" s="102"/>
      <c r="R28" s="102"/>
    </row>
    <row r="29" spans="1:20" ht="14.4" thickTop="1" x14ac:dyDescent="0.3">
      <c r="A29" s="99" t="s">
        <v>12</v>
      </c>
      <c r="B29" s="160">
        <f t="shared" ref="B29:E29" si="3">SUM(B19:B27)</f>
        <v>1747</v>
      </c>
      <c r="C29" s="160">
        <f t="shared" si="3"/>
        <v>23671</v>
      </c>
      <c r="D29" s="160">
        <f t="shared" si="3"/>
        <v>9887</v>
      </c>
      <c r="E29" s="160">
        <f t="shared" si="3"/>
        <v>0</v>
      </c>
      <c r="F29" s="147">
        <f>SUM(F19:F27)</f>
        <v>35305</v>
      </c>
      <c r="G29" s="92">
        <f>SUM(G19:G27)</f>
        <v>27369.628697779222</v>
      </c>
      <c r="H29" s="92">
        <f>SUM(H19:H27)</f>
        <v>7935.3713022207794</v>
      </c>
      <c r="I29" s="169">
        <f t="shared" ref="I29:K29" si="4">SUM(I19:I27)</f>
        <v>33558</v>
      </c>
      <c r="J29" s="92">
        <f t="shared" si="4"/>
        <v>25928.438817996383</v>
      </c>
      <c r="K29" s="92">
        <f t="shared" si="4"/>
        <v>7629.477782003617</v>
      </c>
    </row>
    <row r="30" spans="1:20" x14ac:dyDescent="0.3">
      <c r="A30" s="80"/>
      <c r="B30" s="116"/>
      <c r="C30" s="116"/>
      <c r="D30" s="116"/>
      <c r="E30" s="116"/>
      <c r="F30" s="86"/>
      <c r="G30" s="89"/>
      <c r="H30" s="89"/>
      <c r="I30" s="89"/>
      <c r="J30" s="89"/>
      <c r="K30" s="90"/>
      <c r="L30" s="177"/>
      <c r="M30" s="177"/>
    </row>
    <row r="31" spans="1:20" x14ac:dyDescent="0.3">
      <c r="A31" s="78"/>
      <c r="B31" s="90"/>
      <c r="C31" s="90"/>
      <c r="D31" s="90"/>
      <c r="E31" s="90"/>
      <c r="F31" s="106"/>
      <c r="G31" s="89"/>
      <c r="H31" s="89"/>
      <c r="I31" s="89"/>
      <c r="J31" s="89"/>
      <c r="K31" s="90"/>
      <c r="L31" s="117"/>
      <c r="M31" s="117"/>
      <c r="N31" s="118"/>
    </row>
    <row r="32" spans="1:20" x14ac:dyDescent="0.3">
      <c r="A32" s="79" t="s">
        <v>17</v>
      </c>
      <c r="B32" s="92">
        <f t="shared" ref="B32:K32" si="5">SUM(B15+B29)</f>
        <v>1840</v>
      </c>
      <c r="C32" s="92">
        <f t="shared" si="5"/>
        <v>29245</v>
      </c>
      <c r="D32" s="92">
        <f t="shared" si="5"/>
        <v>12063</v>
      </c>
      <c r="E32" s="92">
        <f t="shared" si="5"/>
        <v>0</v>
      </c>
      <c r="F32" s="147">
        <f t="shared" si="5"/>
        <v>43148</v>
      </c>
      <c r="G32" s="92">
        <f t="shared" si="5"/>
        <v>35028.628697779219</v>
      </c>
      <c r="H32" s="92">
        <f t="shared" si="5"/>
        <v>8119.3713022207794</v>
      </c>
      <c r="I32" s="169">
        <f t="shared" si="5"/>
        <v>41308</v>
      </c>
      <c r="J32" s="92">
        <f t="shared" si="5"/>
        <v>33496.438817996386</v>
      </c>
      <c r="K32" s="92">
        <f t="shared" si="5"/>
        <v>7811.477782003617</v>
      </c>
      <c r="L32" s="119"/>
      <c r="M32" s="78"/>
      <c r="N32" s="120"/>
      <c r="Q32" s="121"/>
      <c r="R32" s="122"/>
      <c r="S32" s="172" t="s">
        <v>17</v>
      </c>
      <c r="T32" s="172"/>
    </row>
    <row r="33" spans="1:20" x14ac:dyDescent="0.3">
      <c r="A33" s="78" t="s">
        <v>18</v>
      </c>
      <c r="B33" s="152">
        <f>(B32/F32)</f>
        <v>4.2643923240938165E-2</v>
      </c>
      <c r="C33" s="152">
        <f>C32/F32</f>
        <v>0.67778344303328075</v>
      </c>
      <c r="D33" s="152">
        <f>(D32/F32)</f>
        <v>0.27957263372578101</v>
      </c>
      <c r="E33" s="152">
        <f>(E32/F32)</f>
        <v>0</v>
      </c>
      <c r="F33" s="147"/>
      <c r="G33" s="161">
        <f>G32/F32</f>
        <v>0.81182508338229398</v>
      </c>
      <c r="H33" s="161">
        <f>H32/F32</f>
        <v>0.18817491661770602</v>
      </c>
      <c r="I33" s="161"/>
      <c r="J33" s="161">
        <f>J32/I32</f>
        <v>0.81089471332420804</v>
      </c>
      <c r="K33" s="152">
        <f>K32/I32</f>
        <v>0.18910326769641758</v>
      </c>
      <c r="L33" s="120"/>
      <c r="M33" s="125"/>
      <c r="N33" s="78"/>
      <c r="Q33" s="121"/>
      <c r="R33" s="122"/>
      <c r="S33" s="172" t="s">
        <v>115</v>
      </c>
      <c r="T33" s="172"/>
    </row>
    <row r="34" spans="1:20" x14ac:dyDescent="0.3">
      <c r="A34" s="113"/>
      <c r="B34" s="90"/>
      <c r="C34" s="90"/>
      <c r="D34" s="90"/>
      <c r="E34" s="90"/>
      <c r="F34" s="106"/>
      <c r="G34" s="89"/>
      <c r="H34" s="89"/>
      <c r="I34" s="89"/>
      <c r="J34" s="89"/>
      <c r="K34" s="90"/>
      <c r="L34" s="78"/>
      <c r="M34" s="78"/>
      <c r="N34" s="78"/>
      <c r="Q34" s="121"/>
      <c r="R34" s="122"/>
      <c r="S34" s="172">
        <v>2008</v>
      </c>
      <c r="T34" s="173">
        <v>0.27544231612808889</v>
      </c>
    </row>
    <row r="35" spans="1:20" x14ac:dyDescent="0.3">
      <c r="A35" s="126" t="s">
        <v>19</v>
      </c>
      <c r="B35" s="92">
        <f t="shared" ref="B35:K35" si="6">(B32-(B6+B7+B8))</f>
        <v>1825</v>
      </c>
      <c r="C35" s="92">
        <f t="shared" si="6"/>
        <v>28269</v>
      </c>
      <c r="D35" s="92">
        <f t="shared" si="6"/>
        <v>11690</v>
      </c>
      <c r="E35" s="92">
        <f t="shared" si="6"/>
        <v>0</v>
      </c>
      <c r="F35" s="147">
        <f t="shared" si="6"/>
        <v>41784</v>
      </c>
      <c r="G35" s="92">
        <f t="shared" si="6"/>
        <v>33708.628697779219</v>
      </c>
      <c r="H35" s="92">
        <f t="shared" si="6"/>
        <v>8075.3713022207794</v>
      </c>
      <c r="I35" s="169">
        <f t="shared" si="6"/>
        <v>39959</v>
      </c>
      <c r="J35" s="92">
        <f t="shared" si="6"/>
        <v>32191.438817996386</v>
      </c>
      <c r="K35" s="92">
        <f t="shared" si="6"/>
        <v>7767.477782003617</v>
      </c>
      <c r="L35" s="78"/>
      <c r="M35" s="78"/>
      <c r="N35" s="78"/>
      <c r="Q35" s="121"/>
      <c r="R35" s="122"/>
      <c r="S35" s="172">
        <v>2009</v>
      </c>
      <c r="T35" s="173">
        <v>0.22539964476021315</v>
      </c>
    </row>
    <row r="36" spans="1:20" x14ac:dyDescent="0.3">
      <c r="A36" s="78" t="s">
        <v>18</v>
      </c>
      <c r="B36" s="152">
        <f>B35/F35</f>
        <v>4.3677005552364541E-2</v>
      </c>
      <c r="C36" s="152">
        <f>C35/F35</f>
        <v>0.67655083285468121</v>
      </c>
      <c r="D36" s="152">
        <f>D35/F35</f>
        <v>0.27977216159295426</v>
      </c>
      <c r="E36" s="152">
        <f>E35/F35</f>
        <v>0</v>
      </c>
      <c r="F36" s="79"/>
      <c r="G36" s="161">
        <f>G35/F35</f>
        <v>0.80673532207972476</v>
      </c>
      <c r="H36" s="161">
        <f>H35/F35</f>
        <v>0.19326467792027521</v>
      </c>
      <c r="I36" s="161"/>
      <c r="J36" s="161">
        <f>J35/I35</f>
        <v>0.80561172246543677</v>
      </c>
      <c r="K36" s="152">
        <f>K35/I35</f>
        <v>0.19438619039524554</v>
      </c>
      <c r="L36" s="78"/>
      <c r="M36" s="78"/>
      <c r="N36" s="78"/>
      <c r="Q36" s="121"/>
      <c r="R36" s="122"/>
      <c r="S36" s="172">
        <v>2010</v>
      </c>
      <c r="T36" s="173">
        <v>0.14960532443056485</v>
      </c>
    </row>
    <row r="37" spans="1:20" x14ac:dyDescent="0.3">
      <c r="A37" s="113"/>
      <c r="B37" s="90"/>
      <c r="C37" s="90"/>
      <c r="D37" s="90"/>
      <c r="E37" s="90"/>
      <c r="F37" s="106"/>
      <c r="G37" s="89"/>
      <c r="H37" s="89"/>
      <c r="I37" s="89"/>
      <c r="J37" s="89"/>
      <c r="K37" s="90"/>
      <c r="L37" s="78"/>
      <c r="M37" s="78"/>
      <c r="N37" s="78"/>
      <c r="Q37" s="121"/>
      <c r="R37" s="122"/>
      <c r="S37" s="172">
        <v>2011</v>
      </c>
      <c r="T37" s="173">
        <v>0.20680000000000001</v>
      </c>
    </row>
    <row r="38" spans="1:20" x14ac:dyDescent="0.3">
      <c r="A38" s="79" t="s">
        <v>20</v>
      </c>
      <c r="B38" s="92">
        <f t="shared" ref="B38:E38" si="7">(B11+B12+B21+B22+B23+B24+B25+B26)</f>
        <v>351</v>
      </c>
      <c r="C38" s="92">
        <f t="shared" si="7"/>
        <v>1990</v>
      </c>
      <c r="D38" s="92">
        <f t="shared" si="7"/>
        <v>1392</v>
      </c>
      <c r="E38" s="92">
        <f t="shared" si="7"/>
        <v>0</v>
      </c>
      <c r="F38" s="147">
        <f>(F11+F12+F21+F22+F23+F24+F25+F26)</f>
        <v>3733</v>
      </c>
      <c r="G38" s="92">
        <f>(G11+G12+G21+G22+G23+G24+G25+G26)</f>
        <v>668</v>
      </c>
      <c r="H38" s="92">
        <f>(H11+H12+H21+H22+H23+H24+H25+H26)</f>
        <v>3065</v>
      </c>
      <c r="I38" s="169">
        <f t="shared" ref="I38:K38" si="8">(I11+I12+I21+I22+I23+I24+I25+I26)</f>
        <v>3382</v>
      </c>
      <c r="J38" s="92">
        <f t="shared" si="8"/>
        <v>508</v>
      </c>
      <c r="K38" s="92">
        <f t="shared" si="8"/>
        <v>2874</v>
      </c>
      <c r="L38" s="78"/>
      <c r="M38" s="78"/>
      <c r="N38" s="78"/>
      <c r="Q38" s="121"/>
      <c r="R38" s="121"/>
      <c r="S38" s="172">
        <v>2012</v>
      </c>
      <c r="T38" s="173">
        <v>0.17533074021248818</v>
      </c>
    </row>
    <row r="39" spans="1:20" x14ac:dyDescent="0.3">
      <c r="A39" s="78" t="s">
        <v>18</v>
      </c>
      <c r="B39" s="152">
        <f>ROUND(B38/F38,4)</f>
        <v>9.4E-2</v>
      </c>
      <c r="C39" s="152">
        <f>ROUND(C38/F38,4)</f>
        <v>0.53310000000000002</v>
      </c>
      <c r="D39" s="152">
        <f>ROUND(D38/F38,4)</f>
        <v>0.37290000000000001</v>
      </c>
      <c r="E39" s="152">
        <f>ROUND(E38/F38,4)</f>
        <v>0</v>
      </c>
      <c r="F39" s="115"/>
      <c r="G39" s="152">
        <f>G38/F38</f>
        <v>0.17894454862041254</v>
      </c>
      <c r="H39" s="152">
        <f>H38/F38</f>
        <v>0.82105545137958746</v>
      </c>
      <c r="I39" s="152"/>
      <c r="J39" s="152">
        <f>J38/I38</f>
        <v>0.15020697811945594</v>
      </c>
      <c r="K39" s="152">
        <f>K38/I38</f>
        <v>0.84979302188054406</v>
      </c>
      <c r="L39" s="78"/>
      <c r="M39" s="78"/>
      <c r="N39" s="78"/>
      <c r="Q39" s="121"/>
      <c r="R39" s="121"/>
      <c r="S39" s="172">
        <v>2013</v>
      </c>
      <c r="T39" s="173">
        <v>0.21984391515568358</v>
      </c>
    </row>
    <row r="40" spans="1:20" x14ac:dyDescent="0.3">
      <c r="A40" s="78"/>
      <c r="B40" s="123"/>
      <c r="C40" s="123"/>
      <c r="D40" s="123"/>
      <c r="E40" s="123"/>
      <c r="F40" s="106"/>
      <c r="G40" s="89"/>
      <c r="H40" s="89"/>
      <c r="I40" s="89"/>
      <c r="J40" s="89"/>
      <c r="K40" s="90"/>
      <c r="L40" s="78"/>
      <c r="M40" s="78"/>
      <c r="N40" s="78"/>
      <c r="Q40" s="121"/>
      <c r="R40" s="121"/>
      <c r="S40" s="172">
        <v>2014</v>
      </c>
      <c r="T40" s="173">
        <v>0.16749297968472482</v>
      </c>
    </row>
    <row r="41" spans="1:20" x14ac:dyDescent="0.3">
      <c r="A41" s="78"/>
      <c r="B41" s="123"/>
      <c r="C41" s="123"/>
      <c r="D41" s="123"/>
      <c r="E41" s="123"/>
      <c r="F41" s="106"/>
      <c r="G41" s="89"/>
      <c r="H41" s="89"/>
      <c r="I41" s="89"/>
      <c r="J41" s="89"/>
      <c r="K41" s="90"/>
      <c r="L41" s="78"/>
      <c r="M41" s="78"/>
      <c r="N41" s="78"/>
      <c r="Q41" s="121"/>
      <c r="R41" s="121"/>
      <c r="S41" s="172">
        <v>2015</v>
      </c>
      <c r="T41" s="173">
        <v>0.15526441639581492</v>
      </c>
    </row>
    <row r="42" spans="1:20" x14ac:dyDescent="0.3">
      <c r="A42" s="78" t="s">
        <v>21</v>
      </c>
      <c r="B42" s="90"/>
      <c r="C42" s="90"/>
      <c r="D42" s="89"/>
      <c r="E42" s="89"/>
      <c r="F42" s="147">
        <f>G42+H42</f>
        <v>3941.2445995501371</v>
      </c>
      <c r="G42" s="147">
        <f>((+G38/(G13+G19+G20+G27+G38))*(G9+G10))+G38</f>
        <v>822.56326537657299</v>
      </c>
      <c r="H42" s="147">
        <f>((+H38/(H13+H19+H20+H27+H38))*(H9+H10))+H38</f>
        <v>3118.6813341735642</v>
      </c>
      <c r="I42" s="86"/>
      <c r="J42" s="86"/>
      <c r="K42" s="85"/>
      <c r="L42" s="119"/>
      <c r="M42" s="78"/>
      <c r="N42" s="120"/>
      <c r="Q42" s="121"/>
      <c r="R42" s="121"/>
      <c r="S42" s="172">
        <v>2016</v>
      </c>
      <c r="T42" s="173">
        <v>0.23303203078055382</v>
      </c>
    </row>
    <row r="43" spans="1:20" x14ac:dyDescent="0.3">
      <c r="A43" s="78"/>
      <c r="B43" s="123"/>
      <c r="C43" s="123"/>
      <c r="D43" s="123"/>
      <c r="E43" s="123"/>
      <c r="F43" s="79"/>
      <c r="G43" s="161">
        <f>G42/F42</f>
        <v>0.20870647446506169</v>
      </c>
      <c r="H43" s="161">
        <f>H42/F42</f>
        <v>0.79129352553493837</v>
      </c>
      <c r="I43" s="124"/>
      <c r="J43" s="89"/>
      <c r="K43" s="90"/>
      <c r="L43" s="120"/>
      <c r="M43" s="125"/>
      <c r="N43" s="78"/>
      <c r="Q43" s="121"/>
      <c r="S43" s="172">
        <v>2017</v>
      </c>
      <c r="T43" s="173">
        <v>0.23446103548711839</v>
      </c>
    </row>
    <row r="44" spans="1:20" x14ac:dyDescent="0.3">
      <c r="A44" s="78" t="s">
        <v>64</v>
      </c>
      <c r="B44" s="90"/>
      <c r="C44" s="90"/>
      <c r="D44" s="89"/>
      <c r="E44" s="89"/>
      <c r="G44" s="147">
        <f>G42-G38</f>
        <v>154.56326537657299</v>
      </c>
      <c r="H44" s="147">
        <f>H42-H38</f>
        <v>53.68133417356421</v>
      </c>
      <c r="I44" s="86"/>
      <c r="J44" s="86"/>
      <c r="K44" s="90"/>
      <c r="Q44" s="95"/>
      <c r="S44" s="172">
        <v>2018</v>
      </c>
      <c r="T44" s="173">
        <v>0.25463493771128665</v>
      </c>
    </row>
    <row r="45" spans="1:20" x14ac:dyDescent="0.3">
      <c r="A45" s="78"/>
      <c r="B45" s="78"/>
      <c r="C45" s="78"/>
      <c r="F45" s="92"/>
      <c r="S45" s="172">
        <v>2019</v>
      </c>
      <c r="T45" s="174">
        <v>0.34399999999999997</v>
      </c>
    </row>
    <row r="46" spans="1:20" x14ac:dyDescent="0.3">
      <c r="A46" s="113"/>
      <c r="B46" s="91"/>
      <c r="C46" s="91"/>
      <c r="D46" s="91"/>
      <c r="E46" s="91"/>
      <c r="F46" s="91"/>
      <c r="G46" s="93"/>
      <c r="S46" s="172">
        <v>2020</v>
      </c>
      <c r="T46" s="173">
        <v>0.28599999999999998</v>
      </c>
    </row>
    <row r="47" spans="1:20" x14ac:dyDescent="0.3">
      <c r="A47" s="127"/>
      <c r="B47" s="127"/>
      <c r="C47" s="127"/>
      <c r="D47" s="127"/>
      <c r="E47" s="127"/>
      <c r="F47" s="127"/>
      <c r="G47" s="93"/>
      <c r="S47" s="172">
        <v>2021</v>
      </c>
      <c r="T47" s="173">
        <v>0.18817491661770602</v>
      </c>
    </row>
    <row r="48" spans="1:20" x14ac:dyDescent="0.3">
      <c r="A48" s="91"/>
      <c r="B48" s="128"/>
      <c r="C48" s="128"/>
      <c r="D48" s="128"/>
      <c r="E48" s="128"/>
      <c r="F48" s="128"/>
      <c r="G48" s="93"/>
      <c r="S48" s="172" t="s">
        <v>116</v>
      </c>
      <c r="T48" s="174">
        <f>AVERAGE(T43:T47)</f>
        <v>0.26145417796322218</v>
      </c>
    </row>
    <row r="49" spans="1:7" x14ac:dyDescent="0.3">
      <c r="A49" s="91"/>
      <c r="B49" s="128"/>
      <c r="C49" s="128"/>
      <c r="D49" s="128"/>
      <c r="E49" s="128"/>
      <c r="F49" s="128"/>
      <c r="G49" s="93"/>
    </row>
    <row r="50" spans="1:7" x14ac:dyDescent="0.3">
      <c r="A50" s="91"/>
      <c r="B50" s="128"/>
      <c r="C50" s="128"/>
      <c r="D50" s="128"/>
      <c r="E50" s="128"/>
      <c r="F50" s="128"/>
      <c r="G50" s="93"/>
    </row>
    <row r="51" spans="1:7" x14ac:dyDescent="0.3">
      <c r="A51" s="91"/>
      <c r="B51" s="128"/>
      <c r="C51" s="128"/>
      <c r="D51" s="128"/>
      <c r="E51" s="128"/>
      <c r="F51" s="128"/>
      <c r="G51" s="93"/>
    </row>
    <row r="52" spans="1:7" x14ac:dyDescent="0.3">
      <c r="A52" s="91"/>
      <c r="B52" s="128"/>
      <c r="C52" s="128"/>
      <c r="D52" s="128"/>
      <c r="E52" s="128"/>
      <c r="F52" s="128"/>
      <c r="G52" s="93"/>
    </row>
    <row r="53" spans="1:7" x14ac:dyDescent="0.3">
      <c r="A53" s="91"/>
      <c r="B53" s="128"/>
      <c r="C53" s="128"/>
      <c r="D53" s="128"/>
      <c r="E53" s="128"/>
      <c r="F53" s="128"/>
      <c r="G53" s="93"/>
    </row>
    <row r="54" spans="1:7" x14ac:dyDescent="0.3">
      <c r="A54" s="91"/>
      <c r="B54" s="128"/>
      <c r="C54" s="128"/>
      <c r="D54" s="128"/>
      <c r="E54" s="128"/>
      <c r="F54" s="128"/>
      <c r="G54" s="93"/>
    </row>
    <row r="55" spans="1:7" x14ac:dyDescent="0.3">
      <c r="A55" s="91"/>
      <c r="B55" s="128"/>
      <c r="C55" s="128"/>
      <c r="D55" s="128"/>
      <c r="E55" s="128"/>
      <c r="F55" s="128"/>
      <c r="G55" s="93"/>
    </row>
    <row r="56" spans="1:7" x14ac:dyDescent="0.3">
      <c r="A56" s="91"/>
      <c r="B56" s="128"/>
      <c r="C56" s="128"/>
      <c r="D56" s="128"/>
      <c r="E56" s="128"/>
      <c r="F56" s="128"/>
      <c r="G56" s="93"/>
    </row>
    <row r="57" spans="1:7" x14ac:dyDescent="0.3">
      <c r="A57" s="91"/>
      <c r="B57" s="128"/>
      <c r="C57" s="128"/>
      <c r="D57" s="128"/>
      <c r="E57" s="128"/>
      <c r="F57" s="128"/>
      <c r="G57" s="93"/>
    </row>
    <row r="58" spans="1:7" x14ac:dyDescent="0.3">
      <c r="A58" s="91"/>
      <c r="B58" s="128"/>
      <c r="C58" s="128"/>
      <c r="D58" s="128"/>
      <c r="E58" s="128"/>
      <c r="F58" s="128"/>
      <c r="G58" s="93"/>
    </row>
    <row r="59" spans="1:7" x14ac:dyDescent="0.3">
      <c r="A59" s="91"/>
      <c r="B59" s="128"/>
      <c r="C59" s="128"/>
      <c r="D59" s="128"/>
      <c r="E59" s="128"/>
      <c r="F59" s="128"/>
      <c r="G59" s="93"/>
    </row>
    <row r="60" spans="1:7" x14ac:dyDescent="0.3">
      <c r="A60" s="91"/>
      <c r="B60" s="128"/>
      <c r="C60" s="128"/>
      <c r="D60" s="128"/>
      <c r="E60" s="128"/>
      <c r="F60" s="128"/>
      <c r="G60" s="93"/>
    </row>
    <row r="61" spans="1:7" x14ac:dyDescent="0.3">
      <c r="A61" s="91"/>
      <c r="B61" s="128"/>
      <c r="C61" s="128"/>
      <c r="D61" s="128"/>
      <c r="E61" s="128"/>
      <c r="F61" s="128"/>
      <c r="G61" s="93"/>
    </row>
    <row r="62" spans="1:7" x14ac:dyDescent="0.3">
      <c r="A62" s="91"/>
      <c r="B62" s="128"/>
      <c r="C62" s="128"/>
      <c r="D62" s="128"/>
      <c r="E62" s="128"/>
      <c r="F62" s="128"/>
      <c r="G62" s="93"/>
    </row>
    <row r="63" spans="1:7" x14ac:dyDescent="0.3">
      <c r="A63" s="91"/>
      <c r="B63" s="128"/>
      <c r="C63" s="128"/>
      <c r="D63" s="128"/>
      <c r="E63" s="128"/>
      <c r="F63" s="128"/>
      <c r="G63" s="93"/>
    </row>
    <row r="64" spans="1:7" x14ac:dyDescent="0.3">
      <c r="A64" s="91"/>
      <c r="B64" s="128"/>
      <c r="C64" s="128"/>
      <c r="D64" s="128"/>
      <c r="E64" s="128"/>
      <c r="F64" s="128"/>
      <c r="G64" s="93"/>
    </row>
    <row r="65" spans="1:7" x14ac:dyDescent="0.3">
      <c r="A65" s="113"/>
      <c r="B65" s="128"/>
      <c r="C65" s="128"/>
      <c r="D65" s="128"/>
      <c r="E65" s="128"/>
      <c r="F65" s="128"/>
      <c r="G65" s="93"/>
    </row>
    <row r="66" spans="1:7" x14ac:dyDescent="0.3">
      <c r="A66" s="113"/>
      <c r="B66" s="129"/>
      <c r="C66" s="129"/>
      <c r="D66" s="129"/>
      <c r="E66" s="129"/>
      <c r="F66" s="128"/>
      <c r="G66" s="93"/>
    </row>
    <row r="67" spans="1:7" x14ac:dyDescent="0.3">
      <c r="A67" s="93"/>
      <c r="B67" s="93"/>
      <c r="C67" s="93"/>
      <c r="D67" s="93"/>
      <c r="E67" s="93"/>
      <c r="F67" s="93"/>
      <c r="G67" s="93"/>
    </row>
    <row r="68" spans="1:7" ht="15" x14ac:dyDescent="0.3">
      <c r="A68" s="130"/>
      <c r="B68" s="91"/>
      <c r="C68" s="91"/>
      <c r="D68" s="91"/>
      <c r="E68" s="91"/>
      <c r="F68" s="91"/>
      <c r="G68" s="93"/>
    </row>
    <row r="69" spans="1:7" ht="15" x14ac:dyDescent="0.3">
      <c r="A69" s="130"/>
      <c r="B69" s="91"/>
      <c r="C69" s="91"/>
      <c r="D69" s="91"/>
      <c r="E69" s="128"/>
      <c r="F69" s="91"/>
      <c r="G69" s="93"/>
    </row>
    <row r="70" spans="1:7" ht="15" x14ac:dyDescent="0.3">
      <c r="A70" s="130"/>
      <c r="B70" s="91"/>
      <c r="C70" s="91"/>
      <c r="D70" s="91"/>
      <c r="E70" s="91"/>
      <c r="F70" s="91"/>
      <c r="G70" s="93"/>
    </row>
    <row r="71" spans="1:7" ht="15" x14ac:dyDescent="0.3">
      <c r="A71" s="130"/>
      <c r="B71" s="91"/>
      <c r="C71" s="91"/>
      <c r="D71" s="91"/>
      <c r="E71" s="91"/>
      <c r="F71" s="91"/>
      <c r="G71" s="93"/>
    </row>
    <row r="72" spans="1:7" ht="15" x14ac:dyDescent="0.3">
      <c r="A72" s="130"/>
      <c r="B72" s="91"/>
      <c r="C72" s="91"/>
      <c r="D72" s="91"/>
      <c r="E72" s="91"/>
      <c r="F72" s="91"/>
      <c r="G72" s="93"/>
    </row>
    <row r="73" spans="1:7" ht="15" x14ac:dyDescent="0.3">
      <c r="A73" s="130"/>
      <c r="B73" s="91"/>
      <c r="C73" s="91"/>
      <c r="D73" s="91"/>
      <c r="E73" s="91"/>
      <c r="F73" s="91"/>
      <c r="G73" s="93"/>
    </row>
    <row r="74" spans="1:7" ht="15" x14ac:dyDescent="0.3">
      <c r="A74" s="130"/>
      <c r="B74" s="93"/>
      <c r="C74" s="93"/>
      <c r="D74" s="93"/>
      <c r="E74" s="93"/>
      <c r="F74" s="93"/>
      <c r="G74" s="93"/>
    </row>
    <row r="75" spans="1:7" x14ac:dyDescent="0.3">
      <c r="A75" s="91"/>
      <c r="B75" s="91"/>
      <c r="C75" s="91"/>
      <c r="D75" s="91"/>
      <c r="E75" s="91"/>
      <c r="F75" s="91"/>
      <c r="G75" s="93"/>
    </row>
    <row r="76" spans="1:7" x14ac:dyDescent="0.3">
      <c r="A76" s="91"/>
      <c r="B76" s="91"/>
      <c r="C76" s="91"/>
      <c r="D76" s="91"/>
      <c r="E76" s="91"/>
      <c r="F76" s="91"/>
      <c r="G76" s="93"/>
    </row>
    <row r="77" spans="1:7" x14ac:dyDescent="0.3">
      <c r="A77" s="93"/>
      <c r="B77" s="93"/>
      <c r="C77" s="93"/>
      <c r="D77" s="93"/>
      <c r="E77" s="93"/>
      <c r="F77" s="93"/>
      <c r="G77" s="93"/>
    </row>
    <row r="78" spans="1:7" x14ac:dyDescent="0.3">
      <c r="A78" s="93"/>
      <c r="B78" s="93"/>
      <c r="C78" s="93"/>
      <c r="D78" s="93"/>
      <c r="E78" s="93"/>
      <c r="F78" s="93"/>
      <c r="G78" s="93"/>
    </row>
    <row r="83" spans="1:6" x14ac:dyDescent="0.3">
      <c r="A83" s="93"/>
      <c r="B83" s="175"/>
      <c r="C83" s="175"/>
      <c r="D83" s="93"/>
      <c r="E83" s="93"/>
      <c r="F83" s="131"/>
    </row>
    <row r="84" spans="1:6" x14ac:dyDescent="0.3">
      <c r="A84" s="93"/>
      <c r="B84" s="132"/>
      <c r="C84" s="132"/>
      <c r="D84" s="93"/>
      <c r="E84" s="93"/>
      <c r="F84" s="93"/>
    </row>
    <row r="85" spans="1:6" x14ac:dyDescent="0.3">
      <c r="A85" s="93"/>
      <c r="B85" s="132"/>
      <c r="C85" s="93"/>
      <c r="D85" s="93"/>
      <c r="E85" s="93"/>
      <c r="F85" s="93"/>
    </row>
    <row r="86" spans="1:6" x14ac:dyDescent="0.3">
      <c r="A86" s="93"/>
      <c r="B86" s="132"/>
      <c r="C86" s="93"/>
      <c r="D86" s="93"/>
      <c r="E86" s="93"/>
      <c r="F86" s="93"/>
    </row>
    <row r="87" spans="1:6" x14ac:dyDescent="0.3">
      <c r="A87" s="93"/>
      <c r="B87" s="132"/>
      <c r="C87" s="93"/>
      <c r="D87" s="93"/>
      <c r="E87" s="93"/>
      <c r="F87" s="93"/>
    </row>
    <row r="88" spans="1:6" x14ac:dyDescent="0.3">
      <c r="A88" s="93"/>
      <c r="B88" s="132"/>
      <c r="C88" s="93"/>
      <c r="D88" s="93"/>
      <c r="E88" s="93"/>
      <c r="F88" s="93"/>
    </row>
    <row r="89" spans="1:6" x14ac:dyDescent="0.3">
      <c r="A89" s="93"/>
      <c r="B89" s="132"/>
      <c r="C89" s="129"/>
      <c r="D89" s="93"/>
      <c r="E89" s="93"/>
      <c r="F89" s="93"/>
    </row>
    <row r="90" spans="1:6" x14ac:dyDescent="0.3">
      <c r="A90" s="93"/>
      <c r="B90" s="93"/>
      <c r="C90" s="93"/>
      <c r="D90" s="93"/>
      <c r="E90" s="93"/>
    </row>
    <row r="91" spans="1:6" x14ac:dyDescent="0.3">
      <c r="A91" s="93"/>
      <c r="B91" s="133"/>
      <c r="C91" s="133"/>
      <c r="D91" s="93"/>
      <c r="E91" s="93"/>
    </row>
    <row r="92" spans="1:6" x14ac:dyDescent="0.3">
      <c r="A92" s="93"/>
      <c r="B92" s="132"/>
      <c r="C92" s="132"/>
      <c r="D92" s="93"/>
      <c r="E92" s="93"/>
    </row>
    <row r="93" spans="1:6" x14ac:dyDescent="0.3">
      <c r="A93" s="93"/>
      <c r="B93" s="132"/>
      <c r="C93" s="129"/>
      <c r="D93" s="129"/>
      <c r="E93" s="93"/>
    </row>
    <row r="94" spans="1:6" x14ac:dyDescent="0.3">
      <c r="A94" s="93"/>
      <c r="B94" s="132"/>
      <c r="C94" s="129"/>
      <c r="D94" s="129"/>
      <c r="E94" s="93"/>
    </row>
    <row r="95" spans="1:6" x14ac:dyDescent="0.3">
      <c r="A95" s="93"/>
      <c r="B95" s="132"/>
      <c r="C95" s="129"/>
      <c r="D95" s="129"/>
      <c r="E95" s="93"/>
    </row>
    <row r="96" spans="1:6" x14ac:dyDescent="0.3">
      <c r="A96" s="93"/>
      <c r="B96" s="132"/>
      <c r="C96" s="129"/>
      <c r="D96" s="129"/>
      <c r="E96" s="93"/>
    </row>
    <row r="97" spans="1:5" x14ac:dyDescent="0.3">
      <c r="A97" s="93"/>
      <c r="B97" s="132"/>
      <c r="C97" s="129"/>
      <c r="D97" s="134"/>
      <c r="E97" s="93"/>
    </row>
    <row r="98" spans="1:5" x14ac:dyDescent="0.3">
      <c r="A98" s="93"/>
      <c r="B98" s="93"/>
      <c r="C98" s="93"/>
      <c r="D98" s="93"/>
      <c r="E98" s="93"/>
    </row>
    <row r="99" spans="1:5" x14ac:dyDescent="0.3">
      <c r="A99" s="93"/>
      <c r="B99" s="93"/>
      <c r="C99" s="93"/>
      <c r="D99" s="93"/>
      <c r="E99" s="93"/>
    </row>
    <row r="100" spans="1:5" x14ac:dyDescent="0.3">
      <c r="A100" s="93"/>
      <c r="B100" s="93"/>
      <c r="C100" s="93"/>
      <c r="D100" s="93"/>
      <c r="E100" s="93"/>
    </row>
    <row r="101" spans="1:5" x14ac:dyDescent="0.3">
      <c r="A101" s="93"/>
      <c r="B101" s="93"/>
      <c r="C101" s="93"/>
      <c r="D101" s="93"/>
      <c r="E101" s="93"/>
    </row>
    <row r="102" spans="1:5" x14ac:dyDescent="0.3">
      <c r="A102" s="93"/>
      <c r="B102" s="93"/>
      <c r="C102" s="93"/>
      <c r="D102" s="93"/>
      <c r="E102" s="93"/>
    </row>
    <row r="103" spans="1:5" x14ac:dyDescent="0.3">
      <c r="A103" s="93"/>
      <c r="B103" s="135"/>
      <c r="C103" s="135"/>
      <c r="D103" s="135"/>
      <c r="E103" s="93"/>
    </row>
    <row r="104" spans="1:5" x14ac:dyDescent="0.3">
      <c r="A104" s="93"/>
      <c r="B104" s="135"/>
      <c r="C104" s="135"/>
      <c r="D104" s="135"/>
      <c r="E104" s="93"/>
    </row>
    <row r="105" spans="1:5" x14ac:dyDescent="0.3">
      <c r="A105" s="93"/>
      <c r="B105" s="135"/>
      <c r="C105" s="135"/>
      <c r="D105" s="135"/>
      <c r="E105" s="93"/>
    </row>
    <row r="106" spans="1:5" x14ac:dyDescent="0.3">
      <c r="A106" s="93"/>
      <c r="B106" s="135"/>
      <c r="C106" s="135"/>
      <c r="D106" s="135"/>
      <c r="E106" s="93"/>
    </row>
    <row r="107" spans="1:5" x14ac:dyDescent="0.3">
      <c r="A107" s="93"/>
      <c r="B107" s="135"/>
      <c r="C107" s="135"/>
      <c r="D107" s="135"/>
      <c r="E107" s="93"/>
    </row>
    <row r="108" spans="1:5" x14ac:dyDescent="0.3">
      <c r="A108" s="93"/>
      <c r="B108" s="93"/>
      <c r="C108" s="93"/>
      <c r="D108" s="93"/>
      <c r="E108" s="93"/>
    </row>
    <row r="109" spans="1:5" x14ac:dyDescent="0.3">
      <c r="A109" s="93"/>
      <c r="B109" s="129"/>
      <c r="C109" s="129"/>
      <c r="D109" s="93"/>
      <c r="E109" s="93"/>
    </row>
    <row r="110" spans="1:5" x14ac:dyDescent="0.3">
      <c r="A110" s="93"/>
      <c r="B110" s="93"/>
      <c r="C110" s="93"/>
      <c r="D110" s="93"/>
      <c r="E110" s="93"/>
    </row>
    <row r="111" spans="1:5" x14ac:dyDescent="0.3">
      <c r="A111" s="93"/>
      <c r="B111" s="93"/>
      <c r="C111" s="93"/>
      <c r="D111" s="93"/>
      <c r="E111" s="93"/>
    </row>
    <row r="112" spans="1:5" x14ac:dyDescent="0.3">
      <c r="A112" s="93"/>
      <c r="B112" s="93"/>
      <c r="C112" s="93"/>
      <c r="D112" s="93"/>
      <c r="E112" s="93"/>
    </row>
    <row r="113" spans="1:6" x14ac:dyDescent="0.3">
      <c r="A113" s="93"/>
      <c r="B113" s="93"/>
      <c r="C113" s="93"/>
      <c r="D113" s="93"/>
      <c r="E113" s="93"/>
      <c r="F113" s="136"/>
    </row>
    <row r="114" spans="1:6" x14ac:dyDescent="0.3">
      <c r="A114" s="93"/>
      <c r="B114" s="135"/>
      <c r="C114" s="135"/>
      <c r="D114" s="93"/>
      <c r="E114" s="93"/>
    </row>
    <row r="115" spans="1:6" x14ac:dyDescent="0.3">
      <c r="A115" s="93"/>
      <c r="B115" s="135"/>
      <c r="C115" s="135"/>
      <c r="D115" s="93"/>
      <c r="E115" s="93"/>
    </row>
    <row r="116" spans="1:6" x14ac:dyDescent="0.3">
      <c r="A116" s="93"/>
      <c r="B116" s="135"/>
      <c r="C116" s="135"/>
      <c r="D116" s="93"/>
      <c r="E116" s="93"/>
    </row>
    <row r="117" spans="1:6" x14ac:dyDescent="0.3">
      <c r="A117" s="93"/>
      <c r="B117" s="135"/>
      <c r="C117" s="135"/>
      <c r="D117" s="93"/>
      <c r="E117" s="93"/>
    </row>
    <row r="118" spans="1:6" x14ac:dyDescent="0.3">
      <c r="A118" s="93"/>
      <c r="B118" s="135"/>
      <c r="C118" s="135"/>
      <c r="D118" s="93"/>
      <c r="E118" s="93"/>
    </row>
    <row r="119" spans="1:6" x14ac:dyDescent="0.3">
      <c r="A119" s="93"/>
      <c r="B119" s="93"/>
      <c r="C119" s="93"/>
      <c r="D119" s="93"/>
      <c r="E119" s="93"/>
    </row>
    <row r="120" spans="1:6" x14ac:dyDescent="0.3">
      <c r="A120" s="93"/>
      <c r="B120" s="129"/>
      <c r="C120" s="129"/>
      <c r="D120" s="93"/>
      <c r="E120" s="93"/>
    </row>
    <row r="121" spans="1:6" x14ac:dyDescent="0.3">
      <c r="A121" s="93"/>
      <c r="B121" s="93"/>
      <c r="C121" s="93"/>
      <c r="D121" s="93"/>
      <c r="E121" s="93"/>
    </row>
    <row r="122" spans="1:6" x14ac:dyDescent="0.3">
      <c r="A122" s="93"/>
      <c r="B122" s="93"/>
      <c r="C122" s="93"/>
      <c r="D122" s="93"/>
      <c r="E122" s="93"/>
    </row>
  </sheetData>
  <mergeCells count="2">
    <mergeCell ref="B83:C83"/>
    <mergeCell ref="L30:M30"/>
  </mergeCells>
  <phoneticPr fontId="21" type="noConversion"/>
  <pageMargins left="0.7" right="0.7" top="0.75" bottom="0.75" header="0.3" footer="0.3"/>
  <pageSetup scale="36" orientation="portrait" r:id="rId1"/>
  <ignoredErrors>
    <ignoredError sqref="J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2021 Final</vt:lpstr>
      <vt:lpstr>Worksheet</vt:lpstr>
      <vt:lpstr>Hatchery-Wild Breakdown</vt:lpstr>
      <vt:lpstr>'2021 Final'!Print_Area</vt:lpstr>
      <vt:lpstr>Worksheet!Print_Area</vt:lpstr>
    </vt:vector>
  </TitlesOfParts>
  <Company>Oregon Department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Vandernaald</dc:creator>
  <cp:lastModifiedBy>Adam J Storch</cp:lastModifiedBy>
  <cp:lastPrinted>2021-11-05T18:07:44Z</cp:lastPrinted>
  <dcterms:created xsi:type="dcterms:W3CDTF">2015-07-22T20:59:04Z</dcterms:created>
  <dcterms:modified xsi:type="dcterms:W3CDTF">2021-12-10T21:24:40Z</dcterms:modified>
</cp:coreProperties>
</file>