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Wilburn\Desktop\Finance\DCFs\"/>
    </mc:Choice>
  </mc:AlternateContent>
  <xr:revisionPtr revIDLastSave="0" documentId="13_ncr:1_{335A275A-A0EA-4518-B277-5744A821F10E}" xr6:coauthVersionLast="47" xr6:coauthVersionMax="47" xr10:uidLastSave="{00000000-0000-0000-0000-000000000000}"/>
  <bookViews>
    <workbookView xWindow="-25710" yWindow="-110" windowWidth="25820" windowHeight="28300" activeTab="1" xr2:uid="{EC066560-634F-4FB8-ABD3-B47D6793AFC5}"/>
  </bookViews>
  <sheets>
    <sheet name="Cover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9" i="2" l="1"/>
  <c r="L8" i="1"/>
  <c r="L5" i="1"/>
  <c r="L7" i="1"/>
  <c r="L6" i="1"/>
  <c r="AO25" i="2" l="1"/>
  <c r="W103" i="2" l="1"/>
  <c r="W76" i="2"/>
  <c r="Z72" i="2"/>
  <c r="W74" i="2"/>
  <c r="W86" i="2"/>
  <c r="Q86" i="2"/>
  <c r="AM32" i="2"/>
  <c r="J68" i="1"/>
  <c r="L4" i="1"/>
  <c r="J66" i="1"/>
  <c r="J63" i="1"/>
  <c r="J64" i="1"/>
  <c r="J65" i="1"/>
  <c r="G64" i="1"/>
  <c r="G65" i="1"/>
  <c r="G66" i="1"/>
  <c r="G67" i="1"/>
  <c r="G68" i="1"/>
  <c r="G69" i="1"/>
  <c r="G70" i="1"/>
  <c r="E66" i="1"/>
  <c r="F66" i="1"/>
  <c r="E67" i="1"/>
  <c r="F67" i="1"/>
  <c r="E68" i="1"/>
  <c r="F68" i="1"/>
  <c r="E69" i="1"/>
  <c r="F69" i="1"/>
  <c r="E70" i="1"/>
  <c r="F70" i="1"/>
  <c r="D66" i="1"/>
  <c r="D67" i="1"/>
  <c r="D68" i="1"/>
  <c r="D69" i="1"/>
  <c r="D70" i="1"/>
  <c r="E65" i="1"/>
  <c r="E64" i="1"/>
  <c r="F64" i="1"/>
  <c r="D64" i="1"/>
  <c r="AN25" i="2"/>
  <c r="AN23" i="2"/>
  <c r="W25" i="2"/>
  <c r="W26" i="2" s="1"/>
  <c r="W42" i="2" s="1"/>
  <c r="V27" i="2"/>
  <c r="R27" i="2"/>
  <c r="AO23" i="2"/>
  <c r="AP23" i="2" s="1"/>
  <c r="AH44" i="2"/>
  <c r="AI44" i="2"/>
  <c r="Z25" i="2"/>
  <c r="Y25" i="2"/>
  <c r="X25" i="2"/>
  <c r="AK44" i="2"/>
  <c r="AL44" i="2"/>
  <c r="AM44" i="2"/>
  <c r="AJ44" i="2"/>
  <c r="W44" i="2"/>
  <c r="X44" i="2"/>
  <c r="Y44" i="2"/>
  <c r="Z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G44" i="2"/>
  <c r="X23" i="2"/>
  <c r="AM23" i="2"/>
  <c r="S47" i="2"/>
  <c r="AN12" i="2"/>
  <c r="F65" i="1" s="1"/>
  <c r="AM37" i="2"/>
  <c r="AL37" i="2"/>
  <c r="AK37" i="2"/>
  <c r="AJ37" i="2"/>
  <c r="AM30" i="2"/>
  <c r="AN30" i="2" s="1"/>
  <c r="AO30" i="2" s="1"/>
  <c r="AP30" i="2" s="1"/>
  <c r="AQ30" i="2" s="1"/>
  <c r="AR30" i="2" s="1"/>
  <c r="AS30" i="2" s="1"/>
  <c r="AT30" i="2" s="1"/>
  <c r="AU30" i="2" s="1"/>
  <c r="AM31" i="2"/>
  <c r="AM24" i="2"/>
  <c r="Z24" i="2"/>
  <c r="X24" i="2"/>
  <c r="AL12" i="2"/>
  <c r="AN24" i="2" s="1"/>
  <c r="AL24" i="2"/>
  <c r="AE26" i="2"/>
  <c r="AF26" i="2"/>
  <c r="AG26" i="2"/>
  <c r="AH26" i="2"/>
  <c r="AH42" i="2" s="1"/>
  <c r="AD26" i="2"/>
  <c r="AL23" i="2"/>
  <c r="AK23" i="2"/>
  <c r="AJ23" i="2"/>
  <c r="AI23" i="2"/>
  <c r="AK24" i="2"/>
  <c r="AJ24" i="2"/>
  <c r="AI24" i="2"/>
  <c r="AI26" i="2" s="1"/>
  <c r="AL32" i="2"/>
  <c r="AK32" i="2"/>
  <c r="AI32" i="2"/>
  <c r="AL31" i="2"/>
  <c r="AK31" i="2"/>
  <c r="AJ31" i="2"/>
  <c r="AI31" i="2"/>
  <c r="W33" i="2"/>
  <c r="T106" i="2"/>
  <c r="AL30" i="2"/>
  <c r="AK30" i="2"/>
  <c r="AJ30" i="2"/>
  <c r="AI30" i="2"/>
  <c r="AF42" i="2"/>
  <c r="AJ25" i="2"/>
  <c r="AI25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X35" i="2"/>
  <c r="Y35" i="2" s="1"/>
  <c r="Z35" i="2" s="1"/>
  <c r="AI35" i="2" s="1"/>
  <c r="AJ35" i="2" s="1"/>
  <c r="AK35" i="2" s="1"/>
  <c r="AL35" i="2" s="1"/>
  <c r="AM35" i="2" s="1"/>
  <c r="Y32" i="2"/>
  <c r="Z32" i="2"/>
  <c r="X32" i="2"/>
  <c r="Y31" i="2"/>
  <c r="Z31" i="2"/>
  <c r="X31" i="2"/>
  <c r="Y30" i="2"/>
  <c r="Z30" i="2"/>
  <c r="X30" i="2"/>
  <c r="Y24" i="2"/>
  <c r="W100" i="2"/>
  <c r="R106" i="2"/>
  <c r="U106" i="2"/>
  <c r="V106" i="2"/>
  <c r="W106" i="2"/>
  <c r="S106" i="2"/>
  <c r="V100" i="2"/>
  <c r="U100" i="2"/>
  <c r="T100" i="2"/>
  <c r="S100" i="2"/>
  <c r="U93" i="2"/>
  <c r="U96" i="2"/>
  <c r="W94" i="2"/>
  <c r="W95" i="2" s="1"/>
  <c r="P96" i="2"/>
  <c r="Q96" i="2" s="1"/>
  <c r="R95" i="2"/>
  <c r="T94" i="2"/>
  <c r="T95" i="2" s="1"/>
  <c r="S94" i="2"/>
  <c r="S95" i="2" s="1"/>
  <c r="O94" i="2"/>
  <c r="P94" i="2" s="1"/>
  <c r="Q94" i="2" s="1"/>
  <c r="U92" i="2"/>
  <c r="V92" i="2" s="1"/>
  <c r="P92" i="2"/>
  <c r="Q92" i="2" s="1"/>
  <c r="U91" i="2"/>
  <c r="V91" i="2" s="1"/>
  <c r="P91" i="2"/>
  <c r="U88" i="2"/>
  <c r="V88" i="2" s="1"/>
  <c r="P88" i="2"/>
  <c r="Q88" i="2" s="1"/>
  <c r="W87" i="2"/>
  <c r="T87" i="2"/>
  <c r="S87" i="2"/>
  <c r="R87" i="2"/>
  <c r="R89" i="2" s="1"/>
  <c r="O87" i="2"/>
  <c r="S86" i="2"/>
  <c r="T86" i="2"/>
  <c r="P86" i="2"/>
  <c r="T82" i="2"/>
  <c r="S82" i="2"/>
  <c r="U82" i="2" s="1"/>
  <c r="U84" i="2" s="1"/>
  <c r="R82" i="2"/>
  <c r="R84" i="2" s="1"/>
  <c r="R102" i="2" s="1"/>
  <c r="O82" i="2"/>
  <c r="O84" i="2" s="1"/>
  <c r="O102" i="2" s="1"/>
  <c r="U80" i="2"/>
  <c r="V80" i="2" s="1"/>
  <c r="P80" i="2"/>
  <c r="Q80" i="2" s="1"/>
  <c r="U79" i="2"/>
  <c r="V79" i="2" s="1"/>
  <c r="P79" i="2"/>
  <c r="Q79" i="2" s="1"/>
  <c r="V78" i="2"/>
  <c r="U78" i="2"/>
  <c r="P78" i="2"/>
  <c r="Q78" i="2" s="1"/>
  <c r="P77" i="2"/>
  <c r="U77" i="2"/>
  <c r="V77" i="2" s="1"/>
  <c r="Q77" i="2"/>
  <c r="W66" i="2"/>
  <c r="V66" i="2"/>
  <c r="V74" i="2" s="1"/>
  <c r="U66" i="2"/>
  <c r="U74" i="2" s="1"/>
  <c r="V69" i="2"/>
  <c r="W69" i="2" s="1"/>
  <c r="X69" i="2" s="1"/>
  <c r="Y69" i="2" s="1"/>
  <c r="Z69" i="2" s="1"/>
  <c r="T66" i="2"/>
  <c r="T74" i="2" s="1"/>
  <c r="S66" i="2"/>
  <c r="S74" i="2" s="1"/>
  <c r="R66" i="2"/>
  <c r="R74" i="2" s="1"/>
  <c r="Q66" i="2"/>
  <c r="Q74" i="2" s="1"/>
  <c r="P66" i="2"/>
  <c r="P74" i="2" s="1"/>
  <c r="O66" i="2"/>
  <c r="O74" i="2" s="1"/>
  <c r="N66" i="2"/>
  <c r="N74" i="2" s="1"/>
  <c r="W60" i="2"/>
  <c r="V60" i="2"/>
  <c r="U55" i="2"/>
  <c r="T55" i="2"/>
  <c r="T54" i="2" s="1"/>
  <c r="S55" i="2"/>
  <c r="S54" i="2" s="1"/>
  <c r="R55" i="2"/>
  <c r="R54" i="2" s="1"/>
  <c r="Q55" i="2"/>
  <c r="Q62" i="2" s="1"/>
  <c r="P55" i="2"/>
  <c r="P62" i="2" s="1"/>
  <c r="O55" i="2"/>
  <c r="O62" i="2" s="1"/>
  <c r="N55" i="2"/>
  <c r="N62" i="2" s="1"/>
  <c r="U60" i="2"/>
  <c r="T60" i="2"/>
  <c r="S60" i="2"/>
  <c r="R60" i="2"/>
  <c r="R62" i="2" s="1"/>
  <c r="Q60" i="2"/>
  <c r="P60" i="2"/>
  <c r="O60" i="2"/>
  <c r="N60" i="2"/>
  <c r="R48" i="2"/>
  <c r="W47" i="2"/>
  <c r="W43" i="2"/>
  <c r="U43" i="2"/>
  <c r="W40" i="2"/>
  <c r="X40" i="2" s="1"/>
  <c r="Y40" i="2" s="1"/>
  <c r="Z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C37" i="2"/>
  <c r="AI37" i="2" s="1"/>
  <c r="D33" i="2"/>
  <c r="E33" i="2"/>
  <c r="F33" i="2"/>
  <c r="G33" i="2"/>
  <c r="I33" i="2"/>
  <c r="J33" i="2"/>
  <c r="K33" i="2"/>
  <c r="L33" i="2"/>
  <c r="M33" i="2"/>
  <c r="N33" i="2"/>
  <c r="O33" i="2"/>
  <c r="P33" i="2"/>
  <c r="Q33" i="2"/>
  <c r="Q48" i="2" s="1"/>
  <c r="R33" i="2"/>
  <c r="S33" i="2"/>
  <c r="S48" i="2" s="1"/>
  <c r="T33" i="2"/>
  <c r="T48" i="2" s="1"/>
  <c r="U33" i="2"/>
  <c r="U48" i="2" s="1"/>
  <c r="V33" i="2"/>
  <c r="V48" i="2" s="1"/>
  <c r="C33" i="2"/>
  <c r="H32" i="2"/>
  <c r="H33" i="2" s="1"/>
  <c r="G32" i="2"/>
  <c r="T47" i="2"/>
  <c r="U47" i="2"/>
  <c r="V47" i="2"/>
  <c r="R47" i="2"/>
  <c r="P43" i="2"/>
  <c r="Q43" i="2"/>
  <c r="R43" i="2"/>
  <c r="S43" i="2"/>
  <c r="T43" i="2"/>
  <c r="V43" i="2"/>
  <c r="O43" i="2"/>
  <c r="M25" i="2"/>
  <c r="M26" i="2" s="1"/>
  <c r="M29" i="2" s="1"/>
  <c r="N25" i="2"/>
  <c r="N15" i="2" s="1"/>
  <c r="O25" i="2"/>
  <c r="O15" i="2" s="1"/>
  <c r="P25" i="2"/>
  <c r="P26" i="2" s="1"/>
  <c r="P29" i="2" s="1"/>
  <c r="Q25" i="2"/>
  <c r="Q15" i="2" s="1"/>
  <c r="R25" i="2"/>
  <c r="R15" i="2" s="1"/>
  <c r="S25" i="2"/>
  <c r="S26" i="2" s="1"/>
  <c r="T25" i="2"/>
  <c r="T26" i="2" s="1"/>
  <c r="T11" i="2" s="1"/>
  <c r="U12" i="2" s="1"/>
  <c r="U25" i="2"/>
  <c r="U26" i="2" s="1"/>
  <c r="U11" i="2" s="1"/>
  <c r="V25" i="2"/>
  <c r="V26" i="2" s="1"/>
  <c r="V11" i="2" s="1"/>
  <c r="L25" i="2"/>
  <c r="L15" i="2" s="1"/>
  <c r="L7" i="2"/>
  <c r="M7" i="2"/>
  <c r="N7" i="2"/>
  <c r="O7" i="2"/>
  <c r="P7" i="2"/>
  <c r="Q7" i="2"/>
  <c r="R7" i="2"/>
  <c r="S7" i="2"/>
  <c r="T7" i="2"/>
  <c r="U7" i="2"/>
  <c r="V7" i="2"/>
  <c r="W7" i="2"/>
  <c r="K7" i="2"/>
  <c r="K25" i="2"/>
  <c r="K26" i="2" s="1"/>
  <c r="H26" i="2"/>
  <c r="H42" i="2" s="1"/>
  <c r="I26" i="2"/>
  <c r="I29" i="2" s="1"/>
  <c r="J26" i="2"/>
  <c r="J42" i="2" s="1"/>
  <c r="D26" i="2"/>
  <c r="D29" i="2" s="1"/>
  <c r="E26" i="2"/>
  <c r="E29" i="2" s="1"/>
  <c r="F26" i="2"/>
  <c r="F29" i="2" s="1"/>
  <c r="G26" i="2"/>
  <c r="G29" i="2" s="1"/>
  <c r="C26" i="2"/>
  <c r="D65" i="1" l="1"/>
  <c r="AN47" i="2"/>
  <c r="AN26" i="2"/>
  <c r="AQ23" i="2"/>
  <c r="AN44" i="2"/>
  <c r="D50" i="2"/>
  <c r="D34" i="2"/>
  <c r="AI33" i="2"/>
  <c r="Y23" i="2"/>
  <c r="L26" i="2"/>
  <c r="L11" i="2" s="1"/>
  <c r="Z23" i="2"/>
  <c r="T83" i="2"/>
  <c r="L14" i="2"/>
  <c r="U95" i="2"/>
  <c r="AM47" i="2"/>
  <c r="AO24" i="2"/>
  <c r="F27" i="2"/>
  <c r="AJ32" i="2"/>
  <c r="U94" i="2"/>
  <c r="V94" i="2" s="1"/>
  <c r="Q54" i="2"/>
  <c r="AJ26" i="2"/>
  <c r="AN35" i="2"/>
  <c r="AO35" i="2" s="1"/>
  <c r="AP35" i="2" s="1"/>
  <c r="AQ35" i="2" s="1"/>
  <c r="AR35" i="2" s="1"/>
  <c r="AS35" i="2" s="1"/>
  <c r="AT35" i="2" s="1"/>
  <c r="AU35" i="2" s="1"/>
  <c r="T89" i="2"/>
  <c r="S89" i="2"/>
  <c r="X33" i="2"/>
  <c r="W89" i="2"/>
  <c r="Z33" i="2"/>
  <c r="AE42" i="2"/>
  <c r="G42" i="2"/>
  <c r="Y33" i="2"/>
  <c r="G50" i="2"/>
  <c r="G34" i="2"/>
  <c r="S42" i="2"/>
  <c r="S29" i="2"/>
  <c r="S11" i="2"/>
  <c r="E50" i="2"/>
  <c r="E34" i="2"/>
  <c r="I50" i="2"/>
  <c r="I34" i="2"/>
  <c r="O42" i="2"/>
  <c r="K29" i="2"/>
  <c r="AJ42" i="2"/>
  <c r="M50" i="2"/>
  <c r="M34" i="2"/>
  <c r="S83" i="2"/>
  <c r="F50" i="2"/>
  <c r="F34" i="2"/>
  <c r="P50" i="2"/>
  <c r="P34" i="2"/>
  <c r="O26" i="2"/>
  <c r="U62" i="2"/>
  <c r="T62" i="2"/>
  <c r="U83" i="2"/>
  <c r="L29" i="2"/>
  <c r="U54" i="2"/>
  <c r="S62" i="2"/>
  <c r="P82" i="2"/>
  <c r="U87" i="2"/>
  <c r="V87" i="2" s="1"/>
  <c r="S14" i="2"/>
  <c r="V29" i="2"/>
  <c r="J29" i="2"/>
  <c r="T84" i="2"/>
  <c r="T102" i="2" s="1"/>
  <c r="P87" i="2"/>
  <c r="P89" i="2" s="1"/>
  <c r="O95" i="2"/>
  <c r="O97" i="2" s="1"/>
  <c r="V96" i="2"/>
  <c r="U109" i="2"/>
  <c r="AK25" i="2"/>
  <c r="AK26" i="2" s="1"/>
  <c r="J27" i="2"/>
  <c r="K14" i="2"/>
  <c r="I42" i="2"/>
  <c r="P14" i="2"/>
  <c r="U29" i="2"/>
  <c r="W29" i="2"/>
  <c r="W50" i="2" s="1"/>
  <c r="C29" i="2"/>
  <c r="AI29" i="2" s="1"/>
  <c r="AI50" i="2" s="1"/>
  <c r="W48" i="2"/>
  <c r="S84" i="2"/>
  <c r="S102" i="2" s="1"/>
  <c r="R97" i="2"/>
  <c r="X26" i="2"/>
  <c r="X42" i="2" s="1"/>
  <c r="AL25" i="2"/>
  <c r="AL26" i="2" s="1"/>
  <c r="O89" i="2"/>
  <c r="AM25" i="2"/>
  <c r="AM26" i="2" s="1"/>
  <c r="AL47" i="2"/>
  <c r="Y26" i="2"/>
  <c r="K15" i="2"/>
  <c r="O83" i="2"/>
  <c r="T29" i="2"/>
  <c r="H29" i="2"/>
  <c r="AJ29" i="2" s="1"/>
  <c r="AJ50" i="2" s="1"/>
  <c r="S15" i="2"/>
  <c r="P15" i="2"/>
  <c r="U86" i="2"/>
  <c r="AI42" i="2"/>
  <c r="AG42" i="2"/>
  <c r="AK33" i="2"/>
  <c r="V95" i="2"/>
  <c r="P95" i="2"/>
  <c r="Q91" i="2"/>
  <c r="Q95" i="2" s="1"/>
  <c r="P11" i="2"/>
  <c r="T13" i="2" s="1"/>
  <c r="P42" i="2"/>
  <c r="M11" i="2"/>
  <c r="M12" i="2" s="1"/>
  <c r="M42" i="2"/>
  <c r="K11" i="2"/>
  <c r="L12" i="2" s="1"/>
  <c r="M14" i="2"/>
  <c r="M15" i="2"/>
  <c r="L42" i="2"/>
  <c r="Q26" i="2"/>
  <c r="U14" i="2"/>
  <c r="U15" i="2"/>
  <c r="T42" i="2"/>
  <c r="K42" i="2"/>
  <c r="R26" i="2"/>
  <c r="R29" i="2" s="1"/>
  <c r="T14" i="2"/>
  <c r="T15" i="2"/>
  <c r="N26" i="2"/>
  <c r="N29" i="2" s="1"/>
  <c r="R14" i="2"/>
  <c r="Q14" i="2"/>
  <c r="T12" i="2"/>
  <c r="O14" i="2"/>
  <c r="N14" i="2"/>
  <c r="W11" i="2"/>
  <c r="W13" i="2" s="1"/>
  <c r="W14" i="2"/>
  <c r="W15" i="2"/>
  <c r="V12" i="2"/>
  <c r="V14" i="2"/>
  <c r="V15" i="2"/>
  <c r="AR23" i="2" l="1"/>
  <c r="AO44" i="2"/>
  <c r="AN42" i="2"/>
  <c r="AM29" i="2"/>
  <c r="AK29" i="2"/>
  <c r="AK50" i="2" s="1"/>
  <c r="Q87" i="2"/>
  <c r="Q89" i="2" s="1"/>
  <c r="W34" i="2"/>
  <c r="W51" i="2" s="1"/>
  <c r="V42" i="2"/>
  <c r="W12" i="2"/>
  <c r="D36" i="2"/>
  <c r="D51" i="2"/>
  <c r="AK42" i="2"/>
  <c r="AM42" i="2"/>
  <c r="AM28" i="2"/>
  <c r="AM50" i="2"/>
  <c r="AL42" i="2"/>
  <c r="Y42" i="2"/>
  <c r="N27" i="2"/>
  <c r="P36" i="2"/>
  <c r="P51" i="2"/>
  <c r="K50" i="2"/>
  <c r="K34" i="2"/>
  <c r="F36" i="2"/>
  <c r="F51" i="2"/>
  <c r="C50" i="2"/>
  <c r="C34" i="2"/>
  <c r="H50" i="2"/>
  <c r="H34" i="2"/>
  <c r="P84" i="2"/>
  <c r="P102" i="2" s="1"/>
  <c r="P83" i="2"/>
  <c r="S50" i="2"/>
  <c r="S34" i="2"/>
  <c r="S97" i="2"/>
  <c r="R50" i="2"/>
  <c r="R34" i="2"/>
  <c r="U50" i="2"/>
  <c r="U34" i="2"/>
  <c r="Q82" i="2"/>
  <c r="J34" i="2"/>
  <c r="J50" i="2"/>
  <c r="L50" i="2"/>
  <c r="L34" i="2"/>
  <c r="I36" i="2"/>
  <c r="I51" i="2"/>
  <c r="N50" i="2"/>
  <c r="N34" i="2"/>
  <c r="V86" i="2"/>
  <c r="V89" i="2" s="1"/>
  <c r="U89" i="2"/>
  <c r="U97" i="2" s="1"/>
  <c r="V50" i="2"/>
  <c r="V34" i="2"/>
  <c r="M36" i="2"/>
  <c r="M51" i="2"/>
  <c r="G51" i="2"/>
  <c r="G36" i="2"/>
  <c r="Q29" i="2"/>
  <c r="Q109" i="2"/>
  <c r="T50" i="2"/>
  <c r="T34" i="2"/>
  <c r="Z26" i="2"/>
  <c r="Z27" i="2" s="1"/>
  <c r="T97" i="2"/>
  <c r="E51" i="2"/>
  <c r="E36" i="2"/>
  <c r="O11" i="2"/>
  <c r="P12" i="2" s="1"/>
  <c r="O29" i="2"/>
  <c r="R83" i="2"/>
  <c r="V82" i="2" s="1"/>
  <c r="U102" i="2"/>
  <c r="U103" i="2" s="1"/>
  <c r="X29" i="2"/>
  <c r="X50" i="2" s="1"/>
  <c r="Q11" i="2"/>
  <c r="Q12" i="2" s="1"/>
  <c r="Q42" i="2"/>
  <c r="U42" i="2"/>
  <c r="N11" i="2"/>
  <c r="N42" i="2"/>
  <c r="R11" i="2"/>
  <c r="R42" i="2"/>
  <c r="P13" i="2"/>
  <c r="AS23" i="2" l="1"/>
  <c r="AT23" i="2" s="1"/>
  <c r="AP25" i="2"/>
  <c r="AQ25" i="2" s="1"/>
  <c r="D52" i="2"/>
  <c r="D38" i="2"/>
  <c r="D39" i="2" s="1"/>
  <c r="AL29" i="2"/>
  <c r="AL50" i="2" s="1"/>
  <c r="W36" i="2"/>
  <c r="AN29" i="2"/>
  <c r="AN28" i="2" s="1"/>
  <c r="AO26" i="2"/>
  <c r="AN31" i="2"/>
  <c r="AN32" i="2"/>
  <c r="Y29" i="2"/>
  <c r="Y50" i="2" s="1"/>
  <c r="Z29" i="2" s="1"/>
  <c r="Z50" i="2" s="1"/>
  <c r="Q50" i="2"/>
  <c r="Q34" i="2"/>
  <c r="G38" i="2"/>
  <c r="G39" i="2" s="1"/>
  <c r="G52" i="2"/>
  <c r="K36" i="2"/>
  <c r="K51" i="2"/>
  <c r="F38" i="2"/>
  <c r="F39" i="2" s="1"/>
  <c r="F52" i="2"/>
  <c r="M52" i="2"/>
  <c r="M38" i="2"/>
  <c r="M39" i="2" s="1"/>
  <c r="H51" i="2"/>
  <c r="H36" i="2"/>
  <c r="V36" i="2"/>
  <c r="V51" i="2"/>
  <c r="J51" i="2"/>
  <c r="J36" i="2"/>
  <c r="P52" i="2"/>
  <c r="P38" i="2"/>
  <c r="S36" i="2"/>
  <c r="S51" i="2"/>
  <c r="L36" i="2"/>
  <c r="L51" i="2"/>
  <c r="Q83" i="2"/>
  <c r="Q84" i="2"/>
  <c r="C36" i="2"/>
  <c r="C51" i="2"/>
  <c r="I38" i="2"/>
  <c r="I39" i="2" s="1"/>
  <c r="I52" i="2"/>
  <c r="O12" i="2"/>
  <c r="E52" i="2"/>
  <c r="E38" i="2"/>
  <c r="E39" i="2" s="1"/>
  <c r="T51" i="2"/>
  <c r="T36" i="2"/>
  <c r="O50" i="2"/>
  <c r="O34" i="2"/>
  <c r="Z42" i="2"/>
  <c r="U36" i="2"/>
  <c r="U51" i="2"/>
  <c r="V83" i="2"/>
  <c r="W82" i="2" s="1"/>
  <c r="V84" i="2"/>
  <c r="P97" i="2"/>
  <c r="R36" i="2"/>
  <c r="R51" i="2"/>
  <c r="S13" i="2"/>
  <c r="N12" i="2"/>
  <c r="N36" i="2"/>
  <c r="N51" i="2"/>
  <c r="X28" i="2"/>
  <c r="X34" i="2"/>
  <c r="X36" i="2" s="1"/>
  <c r="AJ33" i="2"/>
  <c r="S12" i="2"/>
  <c r="R13" i="2"/>
  <c r="V13" i="2"/>
  <c r="Q13" i="2"/>
  <c r="R12" i="2"/>
  <c r="U13" i="2"/>
  <c r="AP44" i="2" l="1"/>
  <c r="AU23" i="2"/>
  <c r="AR25" i="2"/>
  <c r="AQ44" i="2"/>
  <c r="W52" i="2"/>
  <c r="W38" i="2"/>
  <c r="AN50" i="2"/>
  <c r="AN33" i="2"/>
  <c r="AP24" i="2"/>
  <c r="AO32" i="2"/>
  <c r="Y28" i="2"/>
  <c r="Y34" i="2"/>
  <c r="Y36" i="2" s="1"/>
  <c r="P76" i="2"/>
  <c r="P39" i="2"/>
  <c r="U38" i="2"/>
  <c r="U52" i="2"/>
  <c r="N38" i="2"/>
  <c r="N39" i="2" s="1"/>
  <c r="N52" i="2"/>
  <c r="C38" i="2"/>
  <c r="C39" i="2" s="1"/>
  <c r="C52" i="2"/>
  <c r="V38" i="2"/>
  <c r="V52" i="2"/>
  <c r="X37" i="2" s="1"/>
  <c r="X38" i="2" s="1"/>
  <c r="X39" i="2" s="1"/>
  <c r="K38" i="2"/>
  <c r="K39" i="2" s="1"/>
  <c r="K52" i="2"/>
  <c r="J38" i="2"/>
  <c r="J39" i="2" s="1"/>
  <c r="J52" i="2"/>
  <c r="H38" i="2"/>
  <c r="H39" i="2" s="1"/>
  <c r="H52" i="2"/>
  <c r="Q51" i="2"/>
  <c r="Q36" i="2"/>
  <c r="Q102" i="2"/>
  <c r="Q97" i="2"/>
  <c r="T38" i="2"/>
  <c r="T52" i="2"/>
  <c r="R38" i="2"/>
  <c r="R52" i="2"/>
  <c r="L52" i="2"/>
  <c r="L38" i="2"/>
  <c r="L39" i="2" s="1"/>
  <c r="W83" i="2"/>
  <c r="W84" i="2"/>
  <c r="Z28" i="2"/>
  <c r="Z34" i="2"/>
  <c r="Z36" i="2" s="1"/>
  <c r="AI34" i="2"/>
  <c r="O36" i="2"/>
  <c r="O51" i="2"/>
  <c r="V102" i="2"/>
  <c r="V103" i="2" s="1"/>
  <c r="V97" i="2"/>
  <c r="S38" i="2"/>
  <c r="S52" i="2"/>
  <c r="AO47" i="2"/>
  <c r="AJ34" i="2"/>
  <c r="AJ28" i="2"/>
  <c r="AN34" i="2" l="1"/>
  <c r="AN36" i="2" s="1"/>
  <c r="AN37" i="2" s="1"/>
  <c r="AN48" i="2"/>
  <c r="AS25" i="2"/>
  <c r="AR44" i="2"/>
  <c r="Z37" i="2"/>
  <c r="Z38" i="2" s="1"/>
  <c r="Z39" i="2" s="1"/>
  <c r="W39" i="2"/>
  <c r="S103" i="2"/>
  <c r="R103" i="2"/>
  <c r="AO29" i="2"/>
  <c r="AO50" i="2" s="1"/>
  <c r="AO31" i="2"/>
  <c r="AO42" i="2"/>
  <c r="AQ24" i="2"/>
  <c r="AP26" i="2"/>
  <c r="Y37" i="2"/>
  <c r="Y38" i="2" s="1"/>
  <c r="Y39" i="2" s="1"/>
  <c r="V76" i="2"/>
  <c r="V39" i="2"/>
  <c r="AI28" i="2"/>
  <c r="Q52" i="2"/>
  <c r="Q38" i="2"/>
  <c r="S76" i="2"/>
  <c r="S39" i="2"/>
  <c r="U76" i="2"/>
  <c r="U39" i="2"/>
  <c r="V55" i="2"/>
  <c r="W102" i="2"/>
  <c r="W97" i="2"/>
  <c r="T76" i="2"/>
  <c r="T39" i="2"/>
  <c r="T103" i="2"/>
  <c r="R76" i="2"/>
  <c r="R39" i="2"/>
  <c r="O52" i="2"/>
  <c r="O38" i="2"/>
  <c r="AI51" i="2"/>
  <c r="AI36" i="2"/>
  <c r="AJ36" i="2"/>
  <c r="AJ51" i="2"/>
  <c r="AL33" i="2"/>
  <c r="AL48" i="2" s="1"/>
  <c r="AN38" i="2" l="1"/>
  <c r="AT25" i="2"/>
  <c r="AS44" i="2"/>
  <c r="AP31" i="2"/>
  <c r="AP32" i="2"/>
  <c r="AP29" i="2"/>
  <c r="AP50" i="2" s="1"/>
  <c r="AP42" i="2"/>
  <c r="AR24" i="2"/>
  <c r="AQ26" i="2"/>
  <c r="AQ32" i="2" s="1"/>
  <c r="Q76" i="2"/>
  <c r="Q39" i="2"/>
  <c r="O39" i="2"/>
  <c r="O76" i="2"/>
  <c r="V54" i="2"/>
  <c r="V62" i="2"/>
  <c r="W55" i="2"/>
  <c r="AJ38" i="2"/>
  <c r="AJ39" i="2" s="1"/>
  <c r="AJ52" i="2"/>
  <c r="AI52" i="2"/>
  <c r="AI38" i="2"/>
  <c r="AI39" i="2" s="1"/>
  <c r="AL28" i="2"/>
  <c r="AK34" i="2"/>
  <c r="AK28" i="2"/>
  <c r="AM33" i="2"/>
  <c r="AM48" i="2" s="1"/>
  <c r="AU25" i="2" l="1"/>
  <c r="AU44" i="2" s="1"/>
  <c r="AT44" i="2"/>
  <c r="AQ29" i="2"/>
  <c r="AQ50" i="2" s="1"/>
  <c r="AQ31" i="2"/>
  <c r="AQ42" i="2"/>
  <c r="AS24" i="2"/>
  <c r="AR26" i="2"/>
  <c r="AR32" i="2" s="1"/>
  <c r="W54" i="2"/>
  <c r="W62" i="2"/>
  <c r="X55" i="2"/>
  <c r="AK51" i="2"/>
  <c r="AK36" i="2"/>
  <c r="AL34" i="2"/>
  <c r="AM34" i="2"/>
  <c r="AR42" i="2" l="1"/>
  <c r="AR31" i="2"/>
  <c r="AR29" i="2"/>
  <c r="AR50" i="2" s="1"/>
  <c r="AT24" i="2"/>
  <c r="AS26" i="2"/>
  <c r="AS32" i="2" s="1"/>
  <c r="X54" i="2"/>
  <c r="Y55" i="2"/>
  <c r="AL36" i="2"/>
  <c r="AL51" i="2"/>
  <c r="AM36" i="2"/>
  <c r="AM51" i="2"/>
  <c r="AK38" i="2"/>
  <c r="AK39" i="2" s="1"/>
  <c r="AK52" i="2"/>
  <c r="AO33" i="2"/>
  <c r="AS31" i="2" l="1"/>
  <c r="AS29" i="2"/>
  <c r="AS50" i="2" s="1"/>
  <c r="AS42" i="2"/>
  <c r="AU24" i="2"/>
  <c r="AU26" i="2" s="1"/>
  <c r="AU32" i="2" s="1"/>
  <c r="AT26" i="2"/>
  <c r="Y54" i="2"/>
  <c r="Z55" i="2"/>
  <c r="Z54" i="2" s="1"/>
  <c r="AM38" i="2"/>
  <c r="AM39" i="2" s="1"/>
  <c r="AM52" i="2"/>
  <c r="AL38" i="2"/>
  <c r="AL39" i="2" s="1"/>
  <c r="AL52" i="2"/>
  <c r="AO48" i="2"/>
  <c r="AP33" i="2"/>
  <c r="AT31" i="2" l="1"/>
  <c r="AT32" i="2"/>
  <c r="AU29" i="2"/>
  <c r="AU50" i="2" s="1"/>
  <c r="AU31" i="2"/>
  <c r="AT29" i="2"/>
  <c r="AT50" i="2" s="1"/>
  <c r="AT42" i="2"/>
  <c r="AU42" i="2"/>
  <c r="AP48" i="2"/>
  <c r="AQ33" i="2"/>
  <c r="AQ48" i="2" l="1"/>
  <c r="AR33" i="2"/>
  <c r="AR48" i="2" l="1"/>
  <c r="AS33" i="2"/>
  <c r="AS48" i="2" l="1"/>
  <c r="AT33" i="2"/>
  <c r="AT48" i="2" l="1"/>
  <c r="AU33" i="2"/>
  <c r="AU48" i="2" l="1"/>
  <c r="AP47" i="2" l="1"/>
  <c r="AQ47" i="2" l="1"/>
  <c r="AR47" i="2" l="1"/>
  <c r="AS47" i="2" l="1"/>
  <c r="AT47" i="2" l="1"/>
  <c r="AU47" i="2"/>
  <c r="AN51" i="2" l="1"/>
  <c r="AQ28" i="2" l="1"/>
  <c r="AO28" i="2"/>
  <c r="AR34" i="2"/>
  <c r="AR51" i="2" s="1"/>
  <c r="AT34" i="2"/>
  <c r="AT36" i="2" s="1"/>
  <c r="AT37" i="2" s="1"/>
  <c r="AT28" i="2"/>
  <c r="AP28" i="2"/>
  <c r="AR28" i="2"/>
  <c r="AP34" i="2"/>
  <c r="AP51" i="2" s="1"/>
  <c r="AS28" i="2"/>
  <c r="AU28" i="2"/>
  <c r="AO34" i="2"/>
  <c r="AO36" i="2" s="1"/>
  <c r="AO37" i="2" s="1"/>
  <c r="AU34" i="2"/>
  <c r="AU51" i="2" s="1"/>
  <c r="AS34" i="2"/>
  <c r="AS51" i="2" s="1"/>
  <c r="AQ34" i="2"/>
  <c r="AQ36" i="2" s="1"/>
  <c r="AQ37" i="2" s="1"/>
  <c r="AN39" i="2" l="1"/>
  <c r="AN52" i="2"/>
  <c r="AO51" i="2"/>
  <c r="AU36" i="2"/>
  <c r="AR36" i="2"/>
  <c r="AR37" i="2" s="1"/>
  <c r="AS36" i="2"/>
  <c r="AQ52" i="2"/>
  <c r="AT52" i="2"/>
  <c r="AO52" i="2"/>
  <c r="AT51" i="2"/>
  <c r="AP36" i="2"/>
  <c r="AP37" i="2" s="1"/>
  <c r="AQ51" i="2"/>
  <c r="AS37" i="2" l="1"/>
  <c r="AS52" i="2" s="1"/>
  <c r="AU37" i="2"/>
  <c r="AU52" i="2" s="1"/>
  <c r="AT38" i="2"/>
  <c r="AT39" i="2" s="1"/>
  <c r="AO38" i="2"/>
  <c r="AR52" i="2"/>
  <c r="AQ38" i="2"/>
  <c r="AQ39" i="2" s="1"/>
  <c r="AP52" i="2"/>
  <c r="AU38" i="2" l="1"/>
  <c r="AV38" i="2" s="1"/>
  <c r="AW38" i="2" s="1"/>
  <c r="AO39" i="2"/>
  <c r="AS38" i="2"/>
  <c r="AS39" i="2" s="1"/>
  <c r="AR38" i="2"/>
  <c r="AR39" i="2" s="1"/>
  <c r="AP38" i="2"/>
  <c r="AX38" i="2" l="1"/>
  <c r="AU39" i="2"/>
  <c r="AP39" i="2"/>
  <c r="AY38" i="2" l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J62" i="1" s="1"/>
  <c r="AR13" i="2" l="1"/>
  <c r="J67" i="1" s="1"/>
  <c r="J69" i="1" s="1"/>
  <c r="J70" i="1" s="1"/>
  <c r="AR15" i="2" l="1"/>
  <c r="AR16" i="2" s="1"/>
</calcChain>
</file>

<file path=xl/sharedStrings.xml><?xml version="1.0" encoding="utf-8"?>
<sst xmlns="http://schemas.openxmlformats.org/spreadsheetml/2006/main" count="259" uniqueCount="184">
  <si>
    <t xml:space="preserve">Fundamental Analysis of Facebook/Meta </t>
  </si>
  <si>
    <t xml:space="preserve">The Bull Case </t>
  </si>
  <si>
    <t>Key Takeaway:</t>
  </si>
  <si>
    <t>x</t>
  </si>
  <si>
    <t>The Bear Case</t>
  </si>
  <si>
    <t>1. Facing deteriorating addresable advertising market and macro headwinds/recession will result in much lower advertising budgets; result has been massive layoffs</t>
  </si>
  <si>
    <t>2. Massive ($69BN of CapEx) spending has lowered FCF in order to fend off competition (TikTok) + create the next computing platform (metaverse)</t>
  </si>
  <si>
    <t xml:space="preserve">3. regulatory/branding issues - meta/facebook/zuck are not beloved </t>
  </si>
  <si>
    <t>Key Takeaway: Metaverse is a "go big or go home" strategy and represents the greatest risk + investors don’t like all the $$$ being spent (seemingly recklessly)</t>
  </si>
  <si>
    <t xml:space="preserve">Business Segments </t>
  </si>
  <si>
    <t>Family of Apps (FoA)</t>
  </si>
  <si>
    <t>Reality Labs (RL)</t>
  </si>
  <si>
    <t xml:space="preserve">Selling advertising placements on Metas FoA to marketers is the primary revenue driver for the company </t>
  </si>
  <si>
    <r>
      <t xml:space="preserve">1. Facebook - Helps give people power to build community and bring the world closer together. It's a place for people to share life's moments and discuss what's happening, nurture and build relationships, discover and connect to interests, and create economic opportunity. They can do this through </t>
    </r>
    <r>
      <rPr>
        <b/>
        <sz val="11"/>
        <color theme="1"/>
        <rFont val="Calibri"/>
        <family val="2"/>
        <scheme val="minor"/>
      </rPr>
      <t xml:space="preserve"> Feed, Reels, Stories, Groups and more </t>
    </r>
  </si>
  <si>
    <r>
      <t xml:space="preserve">2. Instagram - Brings people closer to the people and things they love. Instagram </t>
    </r>
    <r>
      <rPr>
        <b/>
        <sz val="11"/>
        <color theme="1"/>
        <rFont val="Calibri"/>
        <family val="2"/>
        <scheme val="minor"/>
      </rPr>
      <t xml:space="preserve">Feed, stories, reels, video, live, shops, and messaging </t>
    </r>
    <r>
      <rPr>
        <sz val="11"/>
        <color theme="1"/>
        <rFont val="Calibri"/>
        <family val="2"/>
        <scheme val="minor"/>
      </rPr>
      <t>are places where people and creators can connect and express themselves through photos, video, and private messaging, and discover and shop from their favorite businesses</t>
    </r>
  </si>
  <si>
    <t xml:space="preserve">3. Messanger - a simple but powerful messagin application for people to connect with friends, family, communities, and businesses across platforms and devices through text, audio and video calls </t>
  </si>
  <si>
    <t>4. WhatsApp - a simple, reliable, and secure messaging application that is used by people and businesses around the world to communicate and transact in a private way</t>
  </si>
  <si>
    <t>4. Meta Quest will be a growth driver. Meta will be able to take market share in the VR/AR race</t>
  </si>
  <si>
    <t>1. Neural interfaces using electromyography (lets people control their device using neuromuscular signals)</t>
  </si>
  <si>
    <t xml:space="preserve">2. Meta Quest Virtual Reality Devices </t>
  </si>
  <si>
    <t>3. Horizion worlds - social platform where people can interact with friends, meet new people, play games, and attend virtual events</t>
  </si>
  <si>
    <t>4. Horizion workrooms - VR experience for teams to connect and collaborate at work</t>
  </si>
  <si>
    <t>CEO: Mark Zuckerburg since 2004</t>
  </si>
  <si>
    <t>CFO: Dave Wehner</t>
  </si>
  <si>
    <t>COO: Javier Olivian</t>
  </si>
  <si>
    <t>IR: Deborah Crawford investor@fb.com</t>
  </si>
  <si>
    <t>IPO 2012</t>
  </si>
  <si>
    <t>Founded 2/4/2004</t>
  </si>
  <si>
    <t>Menlo Park, CA</t>
  </si>
  <si>
    <t>650-543-4800</t>
  </si>
  <si>
    <t>Acquisitions</t>
  </si>
  <si>
    <t>Price</t>
  </si>
  <si>
    <t>Shares</t>
  </si>
  <si>
    <t>MC</t>
  </si>
  <si>
    <t>Cash</t>
  </si>
  <si>
    <t>Debt</t>
  </si>
  <si>
    <t>EV</t>
  </si>
  <si>
    <t>Class A</t>
  </si>
  <si>
    <t>Class B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</si>
  <si>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</si>
  <si>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</si>
  <si>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</si>
  <si>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</si>
  <si>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</si>
  <si>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</si>
  <si>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</si>
  <si>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</si>
  <si>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</si>
  <si>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</si>
  <si>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</si>
  <si>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</si>
  <si>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</si>
  <si>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</si>
  <si>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</si>
  <si>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</si>
  <si>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</si>
  <si>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</si>
  <si>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</si>
  <si>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</si>
  <si>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</si>
  <si>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</si>
  <si>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</si>
  <si>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</si>
  <si>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Main</t>
  </si>
  <si>
    <t>ROW Ads</t>
  </si>
  <si>
    <t>APAC Ads</t>
  </si>
  <si>
    <t>EU Ads</t>
  </si>
  <si>
    <t>USCA Ads</t>
  </si>
  <si>
    <t>Other</t>
  </si>
  <si>
    <t>Reality</t>
  </si>
  <si>
    <t>Ads</t>
  </si>
  <si>
    <t>Revenue</t>
  </si>
  <si>
    <t>COGS</t>
  </si>
  <si>
    <t>Gross Margin</t>
  </si>
  <si>
    <t>R&amp;D</t>
  </si>
  <si>
    <t>M&amp;S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</si>
  <si>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</si>
  <si>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</si>
  <si>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</si>
  <si>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</si>
  <si>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</si>
  <si>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</si>
  <si>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</si>
  <si>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</si>
  <si>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</si>
  <si>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US Revenue y/y</t>
  </si>
  <si>
    <t>Ad Volume y/y</t>
  </si>
  <si>
    <t>Ad Pricing y/y</t>
  </si>
  <si>
    <t>Reality y/y</t>
  </si>
  <si>
    <t>OpEx y/y</t>
  </si>
  <si>
    <t xml:space="preserve">Gross Margin </t>
  </si>
  <si>
    <t>Operating Margin</t>
  </si>
  <si>
    <t>Tax Rate</t>
  </si>
  <si>
    <t>Net Cash</t>
  </si>
  <si>
    <t>AR</t>
  </si>
  <si>
    <t>Prepaids</t>
  </si>
  <si>
    <t>PPE</t>
  </si>
  <si>
    <t>Lease ROU</t>
  </si>
  <si>
    <t>Intangibles</t>
  </si>
  <si>
    <t xml:space="preserve">Other </t>
  </si>
  <si>
    <t>Assets</t>
  </si>
  <si>
    <t>AP</t>
  </si>
  <si>
    <t>Partners Payable</t>
  </si>
  <si>
    <t>Leases</t>
  </si>
  <si>
    <t>AE</t>
  </si>
  <si>
    <t>DR</t>
  </si>
  <si>
    <t>OL</t>
  </si>
  <si>
    <t>PIC</t>
  </si>
  <si>
    <t>AOCL</t>
  </si>
  <si>
    <t>Retained</t>
  </si>
  <si>
    <t>L + SE</t>
  </si>
  <si>
    <t>Model NI</t>
  </si>
  <si>
    <t>Reported NI</t>
  </si>
  <si>
    <t>D&amp;A</t>
  </si>
  <si>
    <t>SBC</t>
  </si>
  <si>
    <t>DT</t>
  </si>
  <si>
    <t>CFFO</t>
  </si>
  <si>
    <t>CapEx</t>
  </si>
  <si>
    <t>Investing</t>
  </si>
  <si>
    <t>CFFI</t>
  </si>
  <si>
    <t>SBC Taxes</t>
  </si>
  <si>
    <t>Buybacks</t>
  </si>
  <si>
    <t>CFFF</t>
  </si>
  <si>
    <t>FX</t>
  </si>
  <si>
    <t>CIC</t>
  </si>
  <si>
    <t>Headcount</t>
  </si>
  <si>
    <t>Change q/q</t>
  </si>
  <si>
    <t>FCF</t>
  </si>
  <si>
    <t>FCF TTM</t>
  </si>
  <si>
    <t>Reality Labs OI</t>
  </si>
  <si>
    <t>Family OM%</t>
  </si>
  <si>
    <t>Family DAP</t>
  </si>
  <si>
    <t>Facebook DAU</t>
  </si>
  <si>
    <t xml:space="preserve">   US/CA</t>
  </si>
  <si>
    <t xml:space="preserve">   US/CA ARPU</t>
  </si>
  <si>
    <t>Facebook MAU</t>
  </si>
  <si>
    <t>Global ARPP</t>
  </si>
  <si>
    <t>Family MARPU</t>
  </si>
  <si>
    <t>Family DARPU</t>
  </si>
  <si>
    <t xml:space="preserve">Family MAP </t>
  </si>
  <si>
    <t>2Q MA</t>
  </si>
  <si>
    <t>y/y</t>
  </si>
  <si>
    <t>MARPU - monthly average revenue per user</t>
  </si>
  <si>
    <t>DARPU - daily average revenue per user</t>
  </si>
  <si>
    <t>DAP - Daily active people. Registered and logged in user of Facebook, Instagram, Messanger, and/or Whatsapp who visited at least one of these family of products through mobile or web in a given day</t>
  </si>
  <si>
    <t>MAP - Monthly active people</t>
  </si>
  <si>
    <t>ARPP - Average revenue per person. Total revnue ina given quarter divided by the number of MAP at the beginning and enf of the quarter.</t>
  </si>
  <si>
    <t>DAU - Daily active users. Refers to the number of unique individuals who actively engage with a specific application, platform or service on a daily basis. KEY FACEBOOK METRIC</t>
  </si>
  <si>
    <t>MAU - Monthly Active Users. Key metric for Facebook</t>
  </si>
  <si>
    <t>ARPU - average revenue per user. Key metric for Facebook</t>
  </si>
  <si>
    <t>Facebook Metrics</t>
  </si>
  <si>
    <t>Family of App Metrics</t>
  </si>
  <si>
    <t>Change in WC</t>
  </si>
  <si>
    <t>% of Rev</t>
  </si>
  <si>
    <t>Family OI</t>
  </si>
  <si>
    <t>Reality Labs 6mo y/y</t>
  </si>
  <si>
    <t>Stock Price (Period End)</t>
  </si>
  <si>
    <t>NPV</t>
  </si>
  <si>
    <t>Discount</t>
  </si>
  <si>
    <t>Terminal</t>
  </si>
  <si>
    <t>ROIC</t>
  </si>
  <si>
    <t>Share Price</t>
  </si>
  <si>
    <t>Displacment</t>
  </si>
  <si>
    <t>Upside/downside</t>
  </si>
  <si>
    <t>Assumptions</t>
  </si>
  <si>
    <t>Base</t>
  </si>
  <si>
    <t>Gross Margin % of Revenue</t>
  </si>
  <si>
    <t>Reality Labs Growth y/y</t>
  </si>
  <si>
    <t>Ads Growth y/y</t>
  </si>
  <si>
    <t>R&amp;D spend y/y</t>
  </si>
  <si>
    <t>Switch</t>
  </si>
  <si>
    <t xml:space="preserve">  </t>
  </si>
  <si>
    <t>G&amp;A as % of Revenue</t>
  </si>
  <si>
    <t>M&amp;S as % of Revenue</t>
  </si>
  <si>
    <t>1. Ad Revenue has peaked and will decline at a rate of -2% annually</t>
  </si>
  <si>
    <t>3. Instagram still strong, Whatsapp has monetization opportunities, Facebook still a cash cow and will be viable even without growth</t>
  </si>
  <si>
    <t>2. The company will be able to grow their Reality Labs business line at a rate of 75% per year. This will help to subsitute for declining ad revenue in the long term</t>
  </si>
  <si>
    <t>Reality labs is the key driver for the bull case for META. The bull case assumes META will be able to grow Reality labs to a business that generates 100B+ in revenue per year by 2030.</t>
  </si>
  <si>
    <t>Model Price</t>
  </si>
  <si>
    <t>Bull</t>
  </si>
  <si>
    <t>Bear</t>
  </si>
  <si>
    <t>Ads y/y</t>
  </si>
  <si>
    <t>Model Summary (DO NOT EDIT HERE. ADJUST MODEL)</t>
  </si>
  <si>
    <t>4. Reality labs business line does not replace shrinking ad revenue at the rate that the market expects. &lt;60% annual growth for the reality labs business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</si>
</sst>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3" fontId="0" fillId="0" borderId="0" xfId="0" applyNumberFormat="1" applyAlignment="1">
      <alignment horizontal="right"/>
    </xf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37" fontId="0" fillId="2" borderId="0" xfId="0" applyNumberFormat="1" applyFill="1"/>
    <xf numFmtId="37" fontId="0" fillId="0" borderId="0" xfId="0" applyNumberFormat="1" applyAlignment="1">
      <alignment horizontal="right"/>
    </xf>
    <xf numFmtId="37" fontId="0" fillId="0" borderId="0" xfId="0" applyNumberFormat="1"/>
    <xf numFmtId="0" fontId="0" fillId="0" borderId="2" xfId="0" applyBorder="1" applyAlignment="1">
      <alignment horizontal="right"/>
    </xf>
    <xf numFmtId="2" fontId="0" fillId="0" borderId="2" xfId="0" applyNumberFormat="1" applyBorder="1"/>
    <xf numFmtId="37" fontId="0" fillId="0" borderId="2" xfId="0" applyNumberFormat="1" applyBorder="1" applyAlignment="1">
      <alignment horizontal="right"/>
    </xf>
    <xf numFmtId="37" fontId="0" fillId="0" borderId="2" xfId="0" applyNumberFormat="1" applyBorder="1"/>
    <xf numFmtId="9" fontId="0" fillId="0" borderId="2" xfId="0" applyNumberFormat="1" applyBorder="1"/>
    <xf numFmtId="3" fontId="0" fillId="0" borderId="2" xfId="0" applyNumberFormat="1" applyBorder="1"/>
    <xf numFmtId="9" fontId="1" fillId="0" borderId="0" xfId="0" applyNumberFormat="1" applyFont="1"/>
    <xf numFmtId="9" fontId="1" fillId="0" borderId="2" xfId="0" applyNumberFormat="1" applyFont="1" applyBorder="1"/>
    <xf numFmtId="37" fontId="0" fillId="2" borderId="2" xfId="0" applyNumberFormat="1" applyFill="1" applyBorder="1"/>
    <xf numFmtId="3" fontId="0" fillId="2" borderId="0" xfId="0" applyNumberFormat="1" applyFill="1" applyAlignment="1">
      <alignment horizontal="right"/>
    </xf>
    <xf numFmtId="10" fontId="0" fillId="2" borderId="0" xfId="0" applyNumberFormat="1" applyFill="1"/>
    <xf numFmtId="10" fontId="0" fillId="2" borderId="2" xfId="0" applyNumberFormat="1" applyFill="1" applyBorder="1"/>
    <xf numFmtId="39" fontId="0" fillId="0" borderId="0" xfId="0" applyNumberFormat="1"/>
    <xf numFmtId="39" fontId="0" fillId="0" borderId="2" xfId="0" applyNumberFormat="1" applyBorder="1"/>
    <xf numFmtId="9" fontId="0" fillId="0" borderId="0" xfId="0" applyNumberFormat="1" applyAlignment="1">
      <alignment horizontal="right"/>
    </xf>
    <xf numFmtId="9" fontId="0" fillId="0" borderId="2" xfId="0" applyNumberFormat="1" applyBorder="1" applyAlignment="1">
      <alignment horizontal="right"/>
    </xf>
    <xf numFmtId="8" fontId="0" fillId="0" borderId="0" xfId="0" applyNumberFormat="1"/>
    <xf numFmtId="164" fontId="0" fillId="0" borderId="0" xfId="0" applyNumberFormat="1"/>
    <xf numFmtId="10" fontId="0" fillId="0" borderId="2" xfId="0" applyNumberFormat="1" applyBorder="1"/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7" fontId="4" fillId="0" borderId="0" xfId="0" applyNumberFormat="1" applyFont="1" applyAlignment="1">
      <alignment horizontal="right"/>
    </xf>
    <xf numFmtId="37" fontId="1" fillId="0" borderId="0" xfId="0" applyNumberFormat="1" applyFont="1"/>
    <xf numFmtId="37" fontId="1" fillId="0" borderId="2" xfId="0" applyNumberFormat="1" applyFont="1" applyBorder="1"/>
    <xf numFmtId="37" fontId="0" fillId="0" borderId="1" xfId="0" applyNumberFormat="1" applyBorder="1"/>
    <xf numFmtId="10" fontId="1" fillId="0" borderId="0" xfId="0" applyNumberFormat="1" applyFont="1"/>
    <xf numFmtId="10" fontId="1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1C7E-AD83-4FC9-B0F2-BB9D3E931B60}">
  <dimension ref="A2:L75"/>
  <sheetViews>
    <sheetView topLeftCell="A2" workbookViewId="0">
      <selection activeCell="L8" sqref="L8"/>
    </sheetView>
  </sheetViews>
  <sheetFormatPr defaultRowHeight="14.5" x14ac:dyDescent="0.35"/>
  <cols>
    <col min="1" max="1" width="1.7265625" bestFit="1" customWidth="1"/>
    <col min="2" max="2" width="18.08984375" bestFit="1" customWidth="1"/>
    <col min="10" max="10" width="11.453125" bestFit="1" customWidth="1"/>
  </cols>
  <sheetData>
    <row r="2" spans="1:12" x14ac:dyDescent="0.35">
      <c r="A2" t="s">
        <v>3</v>
      </c>
      <c r="B2" s="1" t="s">
        <v>0</v>
      </c>
      <c r="G2" s="1" t="s">
        <v>30</v>
      </c>
    </row>
    <row r="3" spans="1:12" x14ac:dyDescent="0.35">
      <c r="K3" t="s">
        <v>31</v>
      </c>
      <c r="L3">
        <v>281.83</v>
      </c>
    </row>
    <row r="4" spans="1:12" x14ac:dyDescent="0.35">
      <c r="B4" t="s">
        <v>22</v>
      </c>
      <c r="K4" t="s">
        <v>32</v>
      </c>
      <c r="L4" s="16">
        <f>Model!AU40</f>
        <v>2640</v>
      </c>
    </row>
    <row r="5" spans="1:12" x14ac:dyDescent="0.35">
      <c r="A5" t="s">
        <v>3</v>
      </c>
      <c r="B5" t="s">
        <v>23</v>
      </c>
      <c r="K5" t="s">
        <v>33</v>
      </c>
      <c r="L5" s="16">
        <f>L3*L4</f>
        <v>744031.2</v>
      </c>
    </row>
    <row r="6" spans="1:12" x14ac:dyDescent="0.35">
      <c r="B6" t="s">
        <v>24</v>
      </c>
      <c r="K6" t="s">
        <v>34</v>
      </c>
      <c r="L6" s="16">
        <f>Model!W55</f>
        <v>58408</v>
      </c>
    </row>
    <row r="7" spans="1:12" x14ac:dyDescent="0.35">
      <c r="B7" t="s">
        <v>25</v>
      </c>
      <c r="K7" t="s">
        <v>35</v>
      </c>
      <c r="L7" s="16">
        <f>Model!W69</f>
        <v>9922</v>
      </c>
    </row>
    <row r="8" spans="1:12" x14ac:dyDescent="0.35">
      <c r="B8" t="s">
        <v>27</v>
      </c>
      <c r="K8" t="s">
        <v>36</v>
      </c>
      <c r="L8" s="16">
        <f>L5+L6-L7</f>
        <v>792517.2</v>
      </c>
    </row>
    <row r="9" spans="1:12" x14ac:dyDescent="0.35">
      <c r="B9" t="s">
        <v>26</v>
      </c>
    </row>
    <row r="10" spans="1:12" x14ac:dyDescent="0.35">
      <c r="B10" t="s">
        <v>28</v>
      </c>
      <c r="K10" t="s">
        <v>37</v>
      </c>
    </row>
    <row r="11" spans="1:12" x14ac:dyDescent="0.35">
      <c r="A11" t="s">
        <v>3</v>
      </c>
      <c r="B11" t="s">
        <v>29</v>
      </c>
      <c r="K11" t="s">
        <v>38</v>
      </c>
    </row>
    <row r="13" spans="1:12" ht="18.5" x14ac:dyDescent="0.45">
      <c r="A13" t="s">
        <v>3</v>
      </c>
      <c r="B13" s="2" t="s">
        <v>1</v>
      </c>
    </row>
    <row r="15" spans="1:12" x14ac:dyDescent="0.35">
      <c r="B15" t="s">
        <v>174</v>
      </c>
    </row>
    <row r="16" spans="1:12" x14ac:dyDescent="0.35">
      <c r="B16" t="s">
        <v>176</v>
      </c>
    </row>
    <row r="17" spans="1:3" x14ac:dyDescent="0.35">
      <c r="B17" t="s">
        <v>175</v>
      </c>
    </row>
    <row r="18" spans="1:3" x14ac:dyDescent="0.35">
      <c r="A18" t="s">
        <v>3</v>
      </c>
      <c r="B18" t="s">
        <v>17</v>
      </c>
    </row>
    <row r="19" spans="1:3" x14ac:dyDescent="0.35">
      <c r="B19" t="s">
        <v>2</v>
      </c>
      <c r="C19" t="s">
        <v>177</v>
      </c>
    </row>
    <row r="21" spans="1:3" ht="18.5" x14ac:dyDescent="0.45">
      <c r="A21" t="s">
        <v>3</v>
      </c>
      <c r="B21" s="2" t="s">
        <v>4</v>
      </c>
    </row>
    <row r="23" spans="1:3" x14ac:dyDescent="0.35">
      <c r="A23" t="s">
        <v>3</v>
      </c>
      <c r="B23" t="s">
        <v>5</v>
      </c>
    </row>
    <row r="24" spans="1:3" x14ac:dyDescent="0.35">
      <c r="B24" t="s">
        <v>6</v>
      </c>
    </row>
    <row r="25" spans="1:3" x14ac:dyDescent="0.35">
      <c r="B25" t="s">
        <v>7</v>
      </c>
    </row>
    <row r="26" spans="1:3" x14ac:dyDescent="0.35">
      <c r="B26" t="s">
        <v>183</v>
      </c>
    </row>
    <row r="27" spans="1:3" x14ac:dyDescent="0.35">
      <c r="B27" t="s">
        <v>8</v>
      </c>
    </row>
    <row r="28" spans="1:3" x14ac:dyDescent="0.35">
      <c r="A28" t="s">
        <v>3</v>
      </c>
    </row>
    <row r="29" spans="1:3" ht="18.5" x14ac:dyDescent="0.45">
      <c r="B29" s="2" t="s">
        <v>9</v>
      </c>
    </row>
    <row r="30" spans="1:3" x14ac:dyDescent="0.35">
      <c r="A30" t="s">
        <v>3</v>
      </c>
    </row>
    <row r="31" spans="1:3" x14ac:dyDescent="0.35">
      <c r="B31" s="1" t="s">
        <v>10</v>
      </c>
    </row>
    <row r="32" spans="1:3" x14ac:dyDescent="0.35">
      <c r="B32" t="s">
        <v>13</v>
      </c>
    </row>
    <row r="33" spans="1:2" x14ac:dyDescent="0.35">
      <c r="B33" t="s">
        <v>14</v>
      </c>
    </row>
    <row r="34" spans="1:2" x14ac:dyDescent="0.35">
      <c r="B34" t="s">
        <v>15</v>
      </c>
    </row>
    <row r="35" spans="1:2" x14ac:dyDescent="0.35">
      <c r="B35" t="s">
        <v>16</v>
      </c>
    </row>
    <row r="36" spans="1:2" x14ac:dyDescent="0.35">
      <c r="B36" s="1" t="s">
        <v>12</v>
      </c>
    </row>
    <row r="38" spans="1:2" x14ac:dyDescent="0.35">
      <c r="A38" t="s">
        <v>3</v>
      </c>
      <c r="B38" s="1" t="s">
        <v>11</v>
      </c>
    </row>
    <row r="39" spans="1:2" x14ac:dyDescent="0.35">
      <c r="B39" t="s">
        <v>18</v>
      </c>
    </row>
    <row r="40" spans="1:2" x14ac:dyDescent="0.35">
      <c r="B40" t="s">
        <v>19</v>
      </c>
    </row>
    <row r="41" spans="1:2" x14ac:dyDescent="0.35">
      <c r="B41" t="s">
        <v>20</v>
      </c>
    </row>
    <row r="42" spans="1:2" x14ac:dyDescent="0.35">
      <c r="A42" t="s">
        <v>3</v>
      </c>
      <c r="B42" t="s">
        <v>21</v>
      </c>
    </row>
    <row r="44" spans="1:2" x14ac:dyDescent="0.35">
      <c r="A44" t="s">
        <v>3</v>
      </c>
      <c r="B44" s="1" t="s">
        <v>151</v>
      </c>
    </row>
    <row r="45" spans="1:2" x14ac:dyDescent="0.35">
      <c r="B45" t="s">
        <v>144</v>
      </c>
    </row>
    <row r="46" spans="1:2" x14ac:dyDescent="0.35">
      <c r="B46" t="s">
        <v>145</v>
      </c>
    </row>
    <row r="47" spans="1:2" x14ac:dyDescent="0.35">
      <c r="B47" t="s">
        <v>146</v>
      </c>
    </row>
    <row r="48" spans="1:2" x14ac:dyDescent="0.35">
      <c r="B48" t="s">
        <v>143</v>
      </c>
    </row>
    <row r="49" spans="1:10" x14ac:dyDescent="0.35">
      <c r="A49" t="s">
        <v>3</v>
      </c>
      <c r="B49" t="s">
        <v>142</v>
      </c>
    </row>
    <row r="51" spans="1:10" x14ac:dyDescent="0.35">
      <c r="A51" t="s">
        <v>3</v>
      </c>
      <c r="B51" s="1" t="s">
        <v>150</v>
      </c>
    </row>
    <row r="52" spans="1:10" x14ac:dyDescent="0.35">
      <c r="B52" t="s">
        <v>147</v>
      </c>
    </row>
    <row r="53" spans="1:10" x14ac:dyDescent="0.35">
      <c r="B53" t="s">
        <v>148</v>
      </c>
    </row>
    <row r="54" spans="1:10" x14ac:dyDescent="0.35">
      <c r="A54" t="s">
        <v>3</v>
      </c>
      <c r="B54" t="s">
        <v>149</v>
      </c>
    </row>
    <row r="57" spans="1:10" x14ac:dyDescent="0.35">
      <c r="A57" t="s">
        <v>3</v>
      </c>
      <c r="B57" s="1" t="s">
        <v>182</v>
      </c>
    </row>
    <row r="60" spans="1:10" x14ac:dyDescent="0.35">
      <c r="J60" s="13"/>
    </row>
    <row r="61" spans="1:10" x14ac:dyDescent="0.35">
      <c r="D61" s="36">
        <v>1</v>
      </c>
      <c r="E61" s="36">
        <v>2</v>
      </c>
      <c r="F61" s="36">
        <v>3</v>
      </c>
      <c r="G61" s="36"/>
    </row>
    <row r="62" spans="1:10" x14ac:dyDescent="0.35">
      <c r="A62" t="s">
        <v>3</v>
      </c>
      <c r="B62" t="s">
        <v>164</v>
      </c>
      <c r="D62" s="36" t="s">
        <v>179</v>
      </c>
      <c r="E62" s="36" t="s">
        <v>165</v>
      </c>
      <c r="F62" s="36" t="s">
        <v>180</v>
      </c>
      <c r="G62" s="36" t="s">
        <v>170</v>
      </c>
      <c r="I62" t="s">
        <v>157</v>
      </c>
      <c r="J62" s="33">
        <f>Model!AR9</f>
        <v>705403.07437943399</v>
      </c>
    </row>
    <row r="63" spans="1:10" x14ac:dyDescent="0.35">
      <c r="I63" t="s">
        <v>158</v>
      </c>
      <c r="J63" s="13">
        <f>Model!AR10</f>
        <v>7.5999999999999998E-2</v>
      </c>
    </row>
    <row r="64" spans="1:10" x14ac:dyDescent="0.35">
      <c r="B64" t="s">
        <v>168</v>
      </c>
      <c r="D64" s="38">
        <f>Model!AL11</f>
        <v>-0.02</v>
      </c>
      <c r="E64" s="38">
        <f>Model!AM11</f>
        <v>-0.05</v>
      </c>
      <c r="F64" s="38">
        <f>Model!AN11</f>
        <v>-7.0000000000000007E-2</v>
      </c>
      <c r="G64" s="37">
        <f>Model!AO11</f>
        <v>2</v>
      </c>
      <c r="I64" t="s">
        <v>159</v>
      </c>
      <c r="J64" s="13">
        <f>Model!AR11</f>
        <v>-0.03</v>
      </c>
    </row>
    <row r="65" spans="1:10" x14ac:dyDescent="0.35">
      <c r="B65" t="s">
        <v>167</v>
      </c>
      <c r="D65" s="38">
        <f>Model!AL12</f>
        <v>0.75</v>
      </c>
      <c r="E65" s="38">
        <f>Model!AM12</f>
        <v>0.65</v>
      </c>
      <c r="F65" s="38">
        <f>Model!AN12</f>
        <v>0.55000000000000004</v>
      </c>
      <c r="G65" s="37">
        <f>Model!AO12</f>
        <v>2</v>
      </c>
      <c r="I65" t="s">
        <v>160</v>
      </c>
      <c r="J65" s="13">
        <f>Model!AR12</f>
        <v>0.02</v>
      </c>
    </row>
    <row r="66" spans="1:10" x14ac:dyDescent="0.35">
      <c r="B66" t="s">
        <v>166</v>
      </c>
      <c r="D66" s="38">
        <f>Model!AL13</f>
        <v>0.82</v>
      </c>
      <c r="E66" s="38">
        <f>Model!AM13</f>
        <v>0.79</v>
      </c>
      <c r="F66" s="38">
        <f>Model!AN13</f>
        <v>0.75</v>
      </c>
      <c r="G66" s="37">
        <f>Model!AO13</f>
        <v>2</v>
      </c>
      <c r="I66" t="s">
        <v>32</v>
      </c>
      <c r="J66" s="16">
        <f>Model!AN40</f>
        <v>2640</v>
      </c>
    </row>
    <row r="67" spans="1:10" x14ac:dyDescent="0.35">
      <c r="B67" t="s">
        <v>169</v>
      </c>
      <c r="D67" s="38">
        <f>Model!AL14</f>
        <v>-0.15</v>
      </c>
      <c r="E67" s="38">
        <f>Model!AM14</f>
        <v>-0.1</v>
      </c>
      <c r="F67" s="38">
        <f>Model!AN14</f>
        <v>-0.05</v>
      </c>
      <c r="G67" s="37">
        <f>Model!AO14</f>
        <v>2</v>
      </c>
      <c r="H67" t="s">
        <v>171</v>
      </c>
      <c r="I67" t="s">
        <v>178</v>
      </c>
      <c r="J67" s="33">
        <f>Model!AR13</f>
        <v>267.1981342346341</v>
      </c>
    </row>
    <row r="68" spans="1:10" x14ac:dyDescent="0.35">
      <c r="B68" t="s">
        <v>173</v>
      </c>
      <c r="D68" s="38">
        <f>Model!AL15</f>
        <v>0.11</v>
      </c>
      <c r="E68" s="38">
        <f>Model!AM15</f>
        <v>0.14000000000000001</v>
      </c>
      <c r="F68" s="38">
        <f>Model!AN15</f>
        <v>0.15</v>
      </c>
      <c r="G68" s="37">
        <f>Model!AO15</f>
        <v>2</v>
      </c>
      <c r="I68" t="s">
        <v>161</v>
      </c>
      <c r="J68" s="33">
        <f>Model!AR14</f>
        <v>281.83</v>
      </c>
    </row>
    <row r="69" spans="1:10" x14ac:dyDescent="0.35">
      <c r="B69" t="s">
        <v>172</v>
      </c>
      <c r="D69" s="38">
        <f>Model!AL16</f>
        <v>0.06</v>
      </c>
      <c r="E69" s="38">
        <f>Model!AM16</f>
        <v>0.08</v>
      </c>
      <c r="F69" s="38">
        <f>Model!AN16</f>
        <v>0.11</v>
      </c>
      <c r="G69" s="37">
        <f>Model!AO16</f>
        <v>2</v>
      </c>
      <c r="I69" t="s">
        <v>162</v>
      </c>
      <c r="J69" s="33">
        <f>J67-J68</f>
        <v>-14.631865765365887</v>
      </c>
    </row>
    <row r="70" spans="1:10" x14ac:dyDescent="0.35">
      <c r="A70" t="s">
        <v>3</v>
      </c>
      <c r="B70" t="s">
        <v>92</v>
      </c>
      <c r="D70" s="38">
        <f>Model!AL17</f>
        <v>0.19</v>
      </c>
      <c r="E70" s="38">
        <f>Model!AM17</f>
        <v>0.2</v>
      </c>
      <c r="F70" s="38">
        <f>Model!AN17</f>
        <v>0.21</v>
      </c>
      <c r="G70" s="37">
        <f>Model!AO17</f>
        <v>2</v>
      </c>
      <c r="I70" t="s">
        <v>163</v>
      </c>
      <c r="J70" s="12">
        <f>J69/J67</f>
        <v>-5.4760359039473086E-2</v>
      </c>
    </row>
    <row r="71" spans="1:10" x14ac:dyDescent="0.35">
      <c r="G71" s="12"/>
    </row>
    <row r="75" spans="1:10" x14ac:dyDescent="0.35">
      <c r="A75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7B31-7C0E-460C-B040-0996B48968C7}">
  <dimension ref="A1:EH145"/>
  <sheetViews>
    <sheetView showGridLines="0" tabSelected="1" zoomScaleNormal="100" workbookViewId="0">
      <pane xSplit="2" ySplit="2" topLeftCell="AK3" activePane="bottomRight" state="frozen"/>
      <selection pane="topRight" activeCell="C1" sqref="C1"/>
      <selection pane="bottomLeft" activeCell="A3" sqref="A3"/>
      <selection pane="bottomRight" activeCell="AS9" sqref="AS9"/>
    </sheetView>
  </sheetViews>
  <sheetFormatPr defaultRowHeight="14.5" x14ac:dyDescent="0.35"/>
  <cols>
    <col min="1" max="1" width="1.7265625" bestFit="1" customWidth="1"/>
    <col min="2" max="2" width="20.7265625" bestFit="1" customWidth="1"/>
    <col min="33" max="33" width="20.6328125" bestFit="1" customWidth="1"/>
    <col min="36" max="36" width="20.54296875" bestFit="1" customWidth="1"/>
    <col min="39" max="39" width="10.90625" bestFit="1" customWidth="1"/>
    <col min="40" max="40" width="15.54296875" bestFit="1" customWidth="1"/>
    <col min="41" max="41" width="14" bestFit="1" customWidth="1"/>
    <col min="43" max="43" width="10.6328125" bestFit="1" customWidth="1"/>
    <col min="44" max="44" width="12.26953125" bestFit="1" customWidth="1"/>
    <col min="50" max="50" width="18.08984375" bestFit="1" customWidth="1"/>
    <col min="51" max="51" width="14" bestFit="1" customWidth="1"/>
    <col min="52" max="52" width="10.1796875" bestFit="1" customWidth="1"/>
  </cols>
  <sheetData>
    <row r="1" spans="1:58" x14ac:dyDescent="0.35">
      <c r="A1" s="4" t="s">
        <v>63</v>
      </c>
      <c r="B1" s="6"/>
    </row>
    <row r="2" spans="1:58" x14ac:dyDescent="0.35">
      <c r="B2" s="6"/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55</v>
      </c>
      <c r="T2" s="3" t="s">
        <v>56</v>
      </c>
      <c r="U2" s="3" t="s">
        <v>57</v>
      </c>
      <c r="V2" s="3" t="s">
        <v>58</v>
      </c>
      <c r="W2" s="17" t="s">
        <v>59</v>
      </c>
      <c r="X2" s="3" t="s">
        <v>60</v>
      </c>
      <c r="Y2" s="3" t="s">
        <v>61</v>
      </c>
      <c r="Z2" s="3" t="s">
        <v>62</v>
      </c>
      <c r="AD2">
        <v>2013</v>
      </c>
      <c r="AE2">
        <f>AD2+1</f>
        <v>2014</v>
      </c>
      <c r="AF2">
        <f t="shared" ref="AF2:AX2" si="0">AE2+1</f>
        <v>2015</v>
      </c>
      <c r="AG2">
        <f t="shared" si="0"/>
        <v>2016</v>
      </c>
      <c r="AH2">
        <f t="shared" si="0"/>
        <v>2017</v>
      </c>
      <c r="AI2">
        <f t="shared" si="0"/>
        <v>2018</v>
      </c>
      <c r="AJ2">
        <f t="shared" si="0"/>
        <v>2019</v>
      </c>
      <c r="AK2">
        <f t="shared" si="0"/>
        <v>2020</v>
      </c>
      <c r="AL2">
        <f t="shared" si="0"/>
        <v>2021</v>
      </c>
      <c r="AM2">
        <f t="shared" si="0"/>
        <v>2022</v>
      </c>
      <c r="AN2">
        <f t="shared" si="0"/>
        <v>2023</v>
      </c>
      <c r="AO2">
        <f t="shared" si="0"/>
        <v>2024</v>
      </c>
      <c r="AP2">
        <f t="shared" si="0"/>
        <v>2025</v>
      </c>
      <c r="AQ2">
        <f t="shared" si="0"/>
        <v>2026</v>
      </c>
      <c r="AR2">
        <f t="shared" si="0"/>
        <v>2027</v>
      </c>
      <c r="AS2">
        <f t="shared" si="0"/>
        <v>2028</v>
      </c>
      <c r="AT2">
        <f t="shared" si="0"/>
        <v>2029</v>
      </c>
      <c r="AU2">
        <f t="shared" si="0"/>
        <v>2030</v>
      </c>
      <c r="AV2">
        <f t="shared" si="0"/>
        <v>2031</v>
      </c>
      <c r="AW2">
        <f t="shared" si="0"/>
        <v>2032</v>
      </c>
      <c r="AX2">
        <f t="shared" si="0"/>
        <v>2033</v>
      </c>
    </row>
    <row r="3" spans="1:58" x14ac:dyDescent="0.35">
      <c r="A3" s="5" t="s">
        <v>3</v>
      </c>
      <c r="B3" s="7" t="s">
        <v>131</v>
      </c>
      <c r="C3" s="5"/>
      <c r="D3" s="5"/>
      <c r="E3" s="5"/>
      <c r="F3" s="5"/>
      <c r="G3" s="42"/>
      <c r="H3" s="42"/>
      <c r="I3" s="42"/>
      <c r="J3" s="15">
        <v>2260</v>
      </c>
      <c r="K3" s="15">
        <v>2360</v>
      </c>
      <c r="L3" s="15">
        <v>2470</v>
      </c>
      <c r="M3" s="15">
        <v>2540</v>
      </c>
      <c r="N3" s="15">
        <v>2600</v>
      </c>
      <c r="O3" s="15">
        <v>2720</v>
      </c>
      <c r="P3" s="15">
        <v>2760</v>
      </c>
      <c r="Q3" s="15">
        <v>2810</v>
      </c>
      <c r="R3" s="15">
        <v>2820</v>
      </c>
      <c r="S3" s="15">
        <v>2870</v>
      </c>
      <c r="T3" s="15">
        <v>2880</v>
      </c>
      <c r="U3" s="15">
        <v>2930</v>
      </c>
      <c r="V3" s="15">
        <v>2960</v>
      </c>
      <c r="W3" s="19">
        <v>3020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</row>
    <row r="4" spans="1:58" x14ac:dyDescent="0.35">
      <c r="B4" s="6" t="s">
        <v>139</v>
      </c>
      <c r="G4" s="16"/>
      <c r="H4" s="16"/>
      <c r="I4" s="16"/>
      <c r="J4" s="15">
        <v>2890</v>
      </c>
      <c r="K4" s="15">
        <v>2990</v>
      </c>
      <c r="L4" s="15">
        <v>3140</v>
      </c>
      <c r="M4" s="15">
        <v>3210</v>
      </c>
      <c r="N4" s="15">
        <v>3300</v>
      </c>
      <c r="O4" s="15">
        <v>3450</v>
      </c>
      <c r="P4" s="15">
        <v>3510</v>
      </c>
      <c r="Q4" s="15">
        <v>3580</v>
      </c>
      <c r="R4" s="15">
        <v>3590</v>
      </c>
      <c r="S4" s="15">
        <v>3640</v>
      </c>
      <c r="T4" s="15">
        <v>3650</v>
      </c>
      <c r="U4" s="15">
        <v>3710</v>
      </c>
      <c r="V4" s="15">
        <v>3740</v>
      </c>
      <c r="W4" s="19">
        <v>3810</v>
      </c>
    </row>
    <row r="5" spans="1:58" x14ac:dyDescent="0.35">
      <c r="B5" s="6" t="s">
        <v>132</v>
      </c>
      <c r="G5" s="15">
        <v>1560</v>
      </c>
      <c r="H5" s="15">
        <v>1590</v>
      </c>
      <c r="I5" s="15">
        <v>1620</v>
      </c>
      <c r="J5" s="15">
        <v>1660</v>
      </c>
      <c r="K5" s="15">
        <v>1734</v>
      </c>
      <c r="L5" s="15">
        <v>1785</v>
      </c>
      <c r="M5" s="15">
        <v>1820</v>
      </c>
      <c r="N5" s="15">
        <v>1845</v>
      </c>
      <c r="O5" s="15">
        <v>1878</v>
      </c>
      <c r="P5" s="15">
        <v>1908</v>
      </c>
      <c r="Q5" s="15">
        <v>1930</v>
      </c>
      <c r="R5" s="15">
        <v>1929</v>
      </c>
      <c r="S5" s="15">
        <v>1960</v>
      </c>
      <c r="T5" s="15">
        <v>1968</v>
      </c>
      <c r="U5" s="15">
        <v>1984</v>
      </c>
      <c r="V5" s="15">
        <v>2000</v>
      </c>
      <c r="W5" s="19">
        <v>2037</v>
      </c>
    </row>
    <row r="6" spans="1:58" x14ac:dyDescent="0.35">
      <c r="B6" s="6" t="s">
        <v>133</v>
      </c>
      <c r="G6" s="16"/>
      <c r="H6" s="16"/>
      <c r="I6" s="16"/>
      <c r="J6" s="16"/>
      <c r="K6" s="15">
        <v>195</v>
      </c>
      <c r="L6" s="15">
        <v>198</v>
      </c>
      <c r="M6" s="15">
        <v>196</v>
      </c>
      <c r="N6" s="15">
        <v>195</v>
      </c>
      <c r="O6" s="15">
        <v>195</v>
      </c>
      <c r="P6" s="15">
        <v>195</v>
      </c>
      <c r="Q6" s="15">
        <v>196</v>
      </c>
      <c r="R6" s="15">
        <v>195</v>
      </c>
      <c r="S6" s="15">
        <v>196</v>
      </c>
      <c r="T6" s="15">
        <v>197</v>
      </c>
      <c r="U6" s="15">
        <v>197</v>
      </c>
      <c r="V6" s="16">
        <v>199</v>
      </c>
      <c r="W6" s="19">
        <v>200</v>
      </c>
    </row>
    <row r="7" spans="1:58" x14ac:dyDescent="0.35">
      <c r="B7" s="6" t="s">
        <v>134</v>
      </c>
      <c r="G7" s="16"/>
      <c r="H7" s="16"/>
      <c r="I7" s="16"/>
      <c r="J7" s="16"/>
      <c r="K7" s="15">
        <f>K22/K6</f>
        <v>42.969230769230769</v>
      </c>
      <c r="L7" s="15">
        <f t="shared" ref="L7:W7" si="1">L22/L6</f>
        <v>45.752525252525253</v>
      </c>
      <c r="M7" s="15">
        <f t="shared" si="1"/>
        <v>50.95918367346939</v>
      </c>
      <c r="N7" s="15">
        <f t="shared" si="1"/>
        <v>67.435897435897431</v>
      </c>
      <c r="O7" s="15">
        <f t="shared" si="1"/>
        <v>61.01025641025641</v>
      </c>
      <c r="P7" s="15">
        <f t="shared" si="1"/>
        <v>68.543589743589749</v>
      </c>
      <c r="Q7" s="15">
        <f t="shared" si="1"/>
        <v>66.806122448979593</v>
      </c>
      <c r="R7" s="15">
        <f t="shared" si="1"/>
        <v>77.241025641025644</v>
      </c>
      <c r="S7" s="15">
        <f t="shared" si="1"/>
        <v>61.346938775510203</v>
      </c>
      <c r="T7" s="15">
        <f t="shared" si="1"/>
        <v>64.913705583756339</v>
      </c>
      <c r="U7" s="15">
        <f t="shared" si="1"/>
        <v>64.802030456852791</v>
      </c>
      <c r="V7" s="15">
        <f t="shared" si="1"/>
        <v>75.402010050251263</v>
      </c>
      <c r="W7" s="19">
        <f t="shared" si="1"/>
        <v>63.55</v>
      </c>
      <c r="AC7" s="13"/>
      <c r="AR7" s="13"/>
      <c r="AU7" s="13"/>
    </row>
    <row r="8" spans="1:58" x14ac:dyDescent="0.35">
      <c r="B8" s="6" t="s">
        <v>135</v>
      </c>
      <c r="G8" s="15">
        <v>2380</v>
      </c>
      <c r="H8" s="15">
        <v>2410</v>
      </c>
      <c r="I8" s="15">
        <v>2450</v>
      </c>
      <c r="J8" s="15">
        <v>2500</v>
      </c>
      <c r="K8" s="15">
        <v>2603</v>
      </c>
      <c r="L8" s="15">
        <v>2701</v>
      </c>
      <c r="M8" s="15">
        <v>2740</v>
      </c>
      <c r="N8" s="15">
        <v>2797</v>
      </c>
      <c r="O8" s="15">
        <v>2853</v>
      </c>
      <c r="P8" s="15">
        <v>2895</v>
      </c>
      <c r="Q8" s="15">
        <v>2910</v>
      </c>
      <c r="R8" s="15">
        <v>2912</v>
      </c>
      <c r="S8" s="15">
        <v>2936</v>
      </c>
      <c r="T8" s="15">
        <v>2934</v>
      </c>
      <c r="U8" s="15">
        <v>2958</v>
      </c>
      <c r="V8" s="15">
        <v>2960</v>
      </c>
      <c r="W8" s="19">
        <v>2990</v>
      </c>
      <c r="AC8" s="13"/>
      <c r="AL8" s="36">
        <v>1</v>
      </c>
      <c r="AM8" s="36">
        <v>2</v>
      </c>
      <c r="AN8" s="36">
        <v>3</v>
      </c>
      <c r="AO8" s="36"/>
      <c r="AU8" s="13"/>
    </row>
    <row r="9" spans="1:58" x14ac:dyDescent="0.35">
      <c r="B9" s="6" t="s">
        <v>133</v>
      </c>
      <c r="G9" s="16"/>
      <c r="H9" s="16"/>
      <c r="I9" s="16"/>
      <c r="J9" s="16"/>
      <c r="K9" s="15">
        <v>253</v>
      </c>
      <c r="L9" s="15">
        <v>256</v>
      </c>
      <c r="M9" s="15">
        <v>255</v>
      </c>
      <c r="N9" s="15">
        <v>258</v>
      </c>
      <c r="O9" s="15">
        <v>259</v>
      </c>
      <c r="P9" s="15">
        <v>259</v>
      </c>
      <c r="Q9" s="15">
        <v>261</v>
      </c>
      <c r="R9" s="15">
        <v>262</v>
      </c>
      <c r="S9" s="15">
        <v>263</v>
      </c>
      <c r="T9" s="15">
        <v>264</v>
      </c>
      <c r="U9" s="15">
        <v>266</v>
      </c>
      <c r="V9" s="16">
        <v>266</v>
      </c>
      <c r="W9" s="19">
        <v>269</v>
      </c>
      <c r="AC9" s="13"/>
      <c r="AJ9" t="s">
        <v>164</v>
      </c>
      <c r="AL9" s="36" t="s">
        <v>179</v>
      </c>
      <c r="AM9" s="36" t="s">
        <v>165</v>
      </c>
      <c r="AN9" s="36" t="s">
        <v>180</v>
      </c>
      <c r="AO9" s="36" t="s">
        <v>170</v>
      </c>
      <c r="AQ9" t="s">
        <v>157</v>
      </c>
      <c r="AR9" s="33">
        <f>NPV($AR$10,$AN$38:$EH$38)+Cover!L6-Cover!L7</f>
        <v>705403.07437943399</v>
      </c>
      <c r="AU9" s="13"/>
    </row>
    <row r="10" spans="1:58" x14ac:dyDescent="0.35">
      <c r="B10" s="6"/>
      <c r="W10" s="6"/>
      <c r="AQ10" t="s">
        <v>158</v>
      </c>
      <c r="AR10" s="13">
        <v>7.5999999999999998E-2</v>
      </c>
    </row>
    <row r="11" spans="1:58" x14ac:dyDescent="0.35">
      <c r="B11" s="6" t="s">
        <v>136</v>
      </c>
      <c r="K11" s="11">
        <f>K26/K4</f>
        <v>5.9321070234113709</v>
      </c>
      <c r="L11" s="11">
        <f t="shared" ref="L11:U11" si="2">L26/L4</f>
        <v>5.9512738853503189</v>
      </c>
      <c r="M11" s="11">
        <f t="shared" si="2"/>
        <v>6.6884735202492216</v>
      </c>
      <c r="N11" s="11">
        <f t="shared" si="2"/>
        <v>8.5066666666666659</v>
      </c>
      <c r="O11" s="11">
        <f t="shared" si="2"/>
        <v>7.5857971014492751</v>
      </c>
      <c r="P11" s="11">
        <f t="shared" si="2"/>
        <v>8.2840455840455842</v>
      </c>
      <c r="Q11" s="11">
        <f t="shared" si="2"/>
        <v>8.1033519553072626</v>
      </c>
      <c r="R11" s="11">
        <f t="shared" si="2"/>
        <v>9.3791086350974933</v>
      </c>
      <c r="S11" s="11">
        <f t="shared" si="2"/>
        <v>7.6670329670329673</v>
      </c>
      <c r="T11" s="11">
        <f t="shared" si="2"/>
        <v>7.8964383561643832</v>
      </c>
      <c r="U11" s="11">
        <f t="shared" si="2"/>
        <v>7.4700808625336927</v>
      </c>
      <c r="V11" s="11">
        <f>V26/V4</f>
        <v>8.6002673796791438</v>
      </c>
      <c r="W11" s="18">
        <f>W26/W4</f>
        <v>7.5183727034120738</v>
      </c>
      <c r="AJ11" t="s">
        <v>168</v>
      </c>
      <c r="AL11" s="38">
        <v>-0.02</v>
      </c>
      <c r="AM11" s="38">
        <v>-0.05</v>
      </c>
      <c r="AN11" s="38">
        <v>-7.0000000000000007E-2</v>
      </c>
      <c r="AO11" s="37">
        <v>2</v>
      </c>
      <c r="AQ11" t="s">
        <v>159</v>
      </c>
      <c r="AR11" s="13">
        <v>-0.03</v>
      </c>
    </row>
    <row r="12" spans="1:58" x14ac:dyDescent="0.35">
      <c r="B12" s="6" t="s">
        <v>140</v>
      </c>
      <c r="L12" s="11">
        <f>AVERAGE(K11:L11)</f>
        <v>5.9416904543808453</v>
      </c>
      <c r="M12" s="11">
        <f t="shared" ref="M12:W12" si="3">AVERAGE(L11:M11)</f>
        <v>6.3198737027997698</v>
      </c>
      <c r="N12" s="11">
        <f t="shared" si="3"/>
        <v>7.5975700934579438</v>
      </c>
      <c r="O12" s="11">
        <f t="shared" si="3"/>
        <v>8.0462318840579705</v>
      </c>
      <c r="P12" s="11">
        <f t="shared" si="3"/>
        <v>7.9349213427474297</v>
      </c>
      <c r="Q12" s="11">
        <f t="shared" si="3"/>
        <v>8.1936987696764234</v>
      </c>
      <c r="R12" s="11">
        <f t="shared" si="3"/>
        <v>8.7412302952023779</v>
      </c>
      <c r="S12" s="11">
        <f t="shared" si="3"/>
        <v>8.5230708010652307</v>
      </c>
      <c r="T12" s="11">
        <f t="shared" si="3"/>
        <v>7.7817356615986757</v>
      </c>
      <c r="U12" s="11">
        <f t="shared" si="3"/>
        <v>7.6832596093490384</v>
      </c>
      <c r="V12" s="11">
        <f>AVERAGE(U11:V11)</f>
        <v>8.0351741211064187</v>
      </c>
      <c r="W12" s="18">
        <f t="shared" si="3"/>
        <v>8.0593200415456092</v>
      </c>
      <c r="AJ12" t="s">
        <v>167</v>
      </c>
      <c r="AL12" s="38">
        <f>AM12+0.1</f>
        <v>0.75</v>
      </c>
      <c r="AM12" s="38">
        <v>0.65</v>
      </c>
      <c r="AN12" s="38">
        <f>AM12-0.1</f>
        <v>0.55000000000000004</v>
      </c>
      <c r="AO12" s="37">
        <v>2</v>
      </c>
      <c r="AQ12" t="s">
        <v>160</v>
      </c>
      <c r="AR12" s="13">
        <v>0.02</v>
      </c>
    </row>
    <row r="13" spans="1:58" x14ac:dyDescent="0.35">
      <c r="B13" s="6" t="s">
        <v>141</v>
      </c>
      <c r="P13" s="13">
        <f>P11/L11-1</f>
        <v>0.39197854839744917</v>
      </c>
      <c r="Q13" s="13">
        <f>Q11/M11-1</f>
        <v>0.21153981260066668</v>
      </c>
      <c r="R13" s="13">
        <f t="shared" ref="R13:W13" si="4">R11/N11-1</f>
        <v>0.10255979252713487</v>
      </c>
      <c r="S13" s="13">
        <f t="shared" si="4"/>
        <v>1.0708942580097691E-2</v>
      </c>
      <c r="T13" s="13">
        <f t="shared" si="4"/>
        <v>-4.6789605869347439E-2</v>
      </c>
      <c r="U13" s="13">
        <f t="shared" si="4"/>
        <v>-7.8149276529795975E-2</v>
      </c>
      <c r="V13" s="13">
        <f t="shared" si="4"/>
        <v>-8.3040007928243176E-2</v>
      </c>
      <c r="W13" s="21">
        <f t="shared" si="4"/>
        <v>-1.9389542768383672E-2</v>
      </c>
      <c r="AJ13" t="s">
        <v>166</v>
      </c>
      <c r="AL13" s="38">
        <v>0.82</v>
      </c>
      <c r="AM13" s="38">
        <v>0.79</v>
      </c>
      <c r="AN13" s="38">
        <v>0.75</v>
      </c>
      <c r="AO13" s="37">
        <v>2</v>
      </c>
      <c r="AQ13" t="s">
        <v>178</v>
      </c>
      <c r="AR13" s="33">
        <f>$AR$9/Cover!$L$4</f>
        <v>267.1981342346341</v>
      </c>
    </row>
    <row r="14" spans="1:58" x14ac:dyDescent="0.35">
      <c r="B14" s="6" t="s">
        <v>137</v>
      </c>
      <c r="K14" s="11">
        <f>K25/K4</f>
        <v>5.8327759197324411</v>
      </c>
      <c r="L14" s="11">
        <f t="shared" ref="L14:W14" si="5">L25/L4</f>
        <v>5.834713375796178</v>
      </c>
      <c r="M14" s="11">
        <f t="shared" si="5"/>
        <v>6.6109034267912774</v>
      </c>
      <c r="N14" s="11">
        <f t="shared" si="5"/>
        <v>8.2384848484848483</v>
      </c>
      <c r="O14" s="11">
        <f t="shared" si="5"/>
        <v>7.373623188405797</v>
      </c>
      <c r="P14" s="11">
        <f t="shared" si="5"/>
        <v>8.1424501424501425</v>
      </c>
      <c r="Q14" s="11">
        <f t="shared" si="5"/>
        <v>7.8983240223463689</v>
      </c>
      <c r="R14" s="11">
        <f t="shared" si="5"/>
        <v>9.0916434540389979</v>
      </c>
      <c r="S14" s="11">
        <f t="shared" si="5"/>
        <v>7.4170329670329673</v>
      </c>
      <c r="T14" s="11">
        <f t="shared" si="5"/>
        <v>7.7128767123287671</v>
      </c>
      <c r="U14" s="11">
        <f t="shared" si="5"/>
        <v>7.3415094339622637</v>
      </c>
      <c r="V14" s="11">
        <f t="shared" si="5"/>
        <v>8.3566844919786103</v>
      </c>
      <c r="W14" s="18">
        <f t="shared" si="5"/>
        <v>7.3755905511811024</v>
      </c>
      <c r="AJ14" t="s">
        <v>169</v>
      </c>
      <c r="AL14" s="38">
        <v>-0.15</v>
      </c>
      <c r="AM14" s="38">
        <v>-0.1</v>
      </c>
      <c r="AN14" s="38">
        <v>-0.05</v>
      </c>
      <c r="AO14" s="37">
        <v>2</v>
      </c>
      <c r="AP14" t="s">
        <v>171</v>
      </c>
      <c r="AQ14" t="s">
        <v>161</v>
      </c>
      <c r="AR14" s="34">
        <v>281.83</v>
      </c>
    </row>
    <row r="15" spans="1:58" x14ac:dyDescent="0.35">
      <c r="B15" s="6" t="s">
        <v>138</v>
      </c>
      <c r="K15" s="11">
        <f>K25/K3</f>
        <v>7.3898305084745761</v>
      </c>
      <c r="L15" s="11">
        <f t="shared" ref="L15:W15" si="6">L25/L3</f>
        <v>7.4174089068825912</v>
      </c>
      <c r="M15" s="11">
        <f t="shared" si="6"/>
        <v>8.3547244094488189</v>
      </c>
      <c r="N15" s="11">
        <f t="shared" si="6"/>
        <v>10.456538461538461</v>
      </c>
      <c r="O15" s="11">
        <f t="shared" si="6"/>
        <v>9.3525735294117656</v>
      </c>
      <c r="P15" s="11">
        <f t="shared" si="6"/>
        <v>10.355072463768115</v>
      </c>
      <c r="Q15" s="11">
        <f t="shared" si="6"/>
        <v>10.062633451957295</v>
      </c>
      <c r="R15" s="11">
        <f t="shared" si="6"/>
        <v>11.574113475177304</v>
      </c>
      <c r="S15" s="11">
        <f t="shared" si="6"/>
        <v>9.4069686411149824</v>
      </c>
      <c r="T15" s="11">
        <f t="shared" si="6"/>
        <v>9.7750000000000004</v>
      </c>
      <c r="U15" s="11">
        <f t="shared" si="6"/>
        <v>9.2959044368600683</v>
      </c>
      <c r="V15" s="11">
        <f t="shared" si="6"/>
        <v>10.558783783783785</v>
      </c>
      <c r="W15" s="18">
        <f t="shared" si="6"/>
        <v>9.3049668874172191</v>
      </c>
      <c r="AJ15" t="s">
        <v>173</v>
      </c>
      <c r="AL15" s="38">
        <v>0.11</v>
      </c>
      <c r="AM15" s="38">
        <v>0.14000000000000001</v>
      </c>
      <c r="AN15" s="38">
        <v>0.15</v>
      </c>
      <c r="AO15" s="37">
        <v>2</v>
      </c>
      <c r="AQ15" t="s">
        <v>162</v>
      </c>
      <c r="AR15" s="33">
        <f>$AR$13-$AR$14</f>
        <v>-14.631865765365887</v>
      </c>
    </row>
    <row r="16" spans="1:58" x14ac:dyDescent="0.35">
      <c r="B16" s="6"/>
      <c r="W16" s="6"/>
      <c r="AJ16" t="s">
        <v>172</v>
      </c>
      <c r="AL16" s="38">
        <v>0.06</v>
      </c>
      <c r="AM16" s="38">
        <v>0.08</v>
      </c>
      <c r="AN16" s="38">
        <v>0.11</v>
      </c>
      <c r="AO16" s="37">
        <v>2</v>
      </c>
      <c r="AQ16" t="s">
        <v>163</v>
      </c>
      <c r="AR16" s="12">
        <f>$AR$15/$AR$13</f>
        <v>-5.4760359039473086E-2</v>
      </c>
    </row>
    <row r="17" spans="1:54" x14ac:dyDescent="0.35">
      <c r="B17" s="6"/>
      <c r="W17" s="6"/>
      <c r="AJ17" t="s">
        <v>92</v>
      </c>
      <c r="AL17" s="38">
        <v>0.19</v>
      </c>
      <c r="AM17" s="38">
        <v>0.2</v>
      </c>
      <c r="AN17" s="38">
        <v>0.21</v>
      </c>
      <c r="AO17" s="37">
        <v>2</v>
      </c>
    </row>
    <row r="18" spans="1:54" x14ac:dyDescent="0.35">
      <c r="B18" s="6"/>
      <c r="W18" s="6"/>
      <c r="AO18" s="12"/>
    </row>
    <row r="19" spans="1:54" x14ac:dyDescent="0.35">
      <c r="A19" t="s">
        <v>3</v>
      </c>
      <c r="B19" s="6" t="s">
        <v>64</v>
      </c>
      <c r="C19" s="16"/>
      <c r="D19" s="16"/>
      <c r="E19" s="16"/>
      <c r="F19" s="16"/>
      <c r="G19" s="16"/>
      <c r="H19" s="16"/>
      <c r="I19" s="16"/>
      <c r="J19" s="16"/>
      <c r="K19" s="15">
        <v>1654</v>
      </c>
      <c r="L19" s="15">
        <v>1539</v>
      </c>
      <c r="M19" s="15">
        <v>1980</v>
      </c>
      <c r="N19" s="15">
        <v>2512</v>
      </c>
      <c r="O19" s="15">
        <v>2434</v>
      </c>
      <c r="P19" s="15">
        <v>2857</v>
      </c>
      <c r="Q19" s="15">
        <v>2963</v>
      </c>
      <c r="R19" s="15">
        <v>3220</v>
      </c>
      <c r="S19" s="15">
        <v>2949</v>
      </c>
      <c r="T19" s="15">
        <v>3169</v>
      </c>
      <c r="U19" s="15">
        <v>3047</v>
      </c>
      <c r="V19" s="16">
        <v>3377</v>
      </c>
      <c r="W19" s="19">
        <v>3229</v>
      </c>
    </row>
    <row r="20" spans="1:54" x14ac:dyDescent="0.35">
      <c r="B20" s="6" t="s">
        <v>65</v>
      </c>
      <c r="C20" s="16"/>
      <c r="D20" s="16"/>
      <c r="E20" s="16"/>
      <c r="F20" s="16"/>
      <c r="G20" s="16"/>
      <c r="H20" s="16"/>
      <c r="I20" s="16"/>
      <c r="J20" s="16"/>
      <c r="K20" s="15">
        <v>3236</v>
      </c>
      <c r="L20" s="15">
        <v>3312</v>
      </c>
      <c r="M20" s="15">
        <v>4202</v>
      </c>
      <c r="N20" s="15">
        <v>4703</v>
      </c>
      <c r="O20" s="15">
        <v>4735</v>
      </c>
      <c r="P20" s="15">
        <v>5152</v>
      </c>
      <c r="Q20" s="15">
        <v>5398</v>
      </c>
      <c r="R20" s="15">
        <v>6183</v>
      </c>
      <c r="S20" s="15">
        <v>5661</v>
      </c>
      <c r="T20" s="15">
        <v>5835</v>
      </c>
      <c r="U20" s="15">
        <v>5717</v>
      </c>
      <c r="V20" s="16">
        <v>5968</v>
      </c>
      <c r="W20" s="19">
        <v>5893</v>
      </c>
    </row>
    <row r="21" spans="1:54" x14ac:dyDescent="0.35">
      <c r="B21" s="6" t="s">
        <v>66</v>
      </c>
      <c r="C21" s="16"/>
      <c r="D21" s="16"/>
      <c r="E21" s="16"/>
      <c r="F21" s="16"/>
      <c r="G21" s="16"/>
      <c r="H21" s="16"/>
      <c r="I21" s="16"/>
      <c r="J21" s="16"/>
      <c r="K21" s="15">
        <v>4171</v>
      </c>
      <c r="L21" s="15">
        <v>4411</v>
      </c>
      <c r="M21" s="15">
        <v>5051</v>
      </c>
      <c r="N21" s="15">
        <v>6822</v>
      </c>
      <c r="O21" s="15">
        <v>6373</v>
      </c>
      <c r="P21" s="15">
        <v>7205</v>
      </c>
      <c r="Q21" s="15">
        <v>6821</v>
      </c>
      <c r="R21" s="15">
        <v>8174</v>
      </c>
      <c r="S21" s="15">
        <v>6364</v>
      </c>
      <c r="T21" s="15">
        <v>6360</v>
      </c>
      <c r="U21" s="15">
        <v>5707</v>
      </c>
      <c r="V21" s="16">
        <v>6904</v>
      </c>
      <c r="W21" s="19">
        <v>6269</v>
      </c>
      <c r="AY21" s="33"/>
    </row>
    <row r="22" spans="1:54" x14ac:dyDescent="0.35">
      <c r="B22" s="6" t="s">
        <v>67</v>
      </c>
      <c r="C22" s="16"/>
      <c r="D22" s="16"/>
      <c r="E22" s="16"/>
      <c r="F22" s="16"/>
      <c r="G22" s="16"/>
      <c r="H22" s="16"/>
      <c r="I22" s="16"/>
      <c r="J22" s="16"/>
      <c r="K22" s="15">
        <v>8379</v>
      </c>
      <c r="L22" s="15">
        <v>9059</v>
      </c>
      <c r="M22" s="15">
        <v>9988</v>
      </c>
      <c r="N22" s="15">
        <v>13150</v>
      </c>
      <c r="O22" s="15">
        <v>11897</v>
      </c>
      <c r="P22" s="15">
        <v>13366</v>
      </c>
      <c r="Q22" s="15">
        <v>13094</v>
      </c>
      <c r="R22" s="15">
        <v>15062</v>
      </c>
      <c r="S22" s="15">
        <v>12024</v>
      </c>
      <c r="T22" s="15">
        <v>12788</v>
      </c>
      <c r="U22" s="15">
        <v>12766</v>
      </c>
      <c r="V22" s="16">
        <v>15005</v>
      </c>
      <c r="W22" s="19">
        <v>12710</v>
      </c>
      <c r="AM22" s="6"/>
      <c r="AY22" s="33"/>
      <c r="BB22" s="33"/>
    </row>
    <row r="23" spans="1:54" x14ac:dyDescent="0.35">
      <c r="B23" s="6" t="s">
        <v>68</v>
      </c>
      <c r="C23" s="15">
        <v>171</v>
      </c>
      <c r="D23" s="15">
        <v>193</v>
      </c>
      <c r="E23" s="15">
        <v>188</v>
      </c>
      <c r="F23" s="15">
        <v>274</v>
      </c>
      <c r="G23" s="15">
        <v>165</v>
      </c>
      <c r="H23" s="15">
        <v>262</v>
      </c>
      <c r="I23" s="15">
        <v>269</v>
      </c>
      <c r="J23" s="15">
        <v>346</v>
      </c>
      <c r="K23" s="15">
        <v>297</v>
      </c>
      <c r="L23" s="15">
        <v>366</v>
      </c>
      <c r="M23" s="15">
        <v>249</v>
      </c>
      <c r="N23" s="15">
        <v>168</v>
      </c>
      <c r="O23" s="15">
        <v>198</v>
      </c>
      <c r="P23" s="15">
        <v>192</v>
      </c>
      <c r="Q23" s="15">
        <v>176</v>
      </c>
      <c r="R23" s="15">
        <v>155</v>
      </c>
      <c r="S23" s="15">
        <v>215</v>
      </c>
      <c r="T23" s="15">
        <v>218</v>
      </c>
      <c r="U23" s="15">
        <v>192</v>
      </c>
      <c r="V23" s="15">
        <v>184</v>
      </c>
      <c r="W23" s="19">
        <v>205</v>
      </c>
      <c r="X23" s="16">
        <f>AVERAGE(V23:W23)</f>
        <v>194.5</v>
      </c>
      <c r="Y23" s="16">
        <f>AVERAGE(W23:X23)</f>
        <v>199.75</v>
      </c>
      <c r="Z23" s="16">
        <f>AVERAGE(X23:Y23)</f>
        <v>197.125</v>
      </c>
      <c r="AI23" s="10">
        <f>SUM(C23:F23)</f>
        <v>826</v>
      </c>
      <c r="AJ23" s="10">
        <f>SUM(G23:J23)</f>
        <v>1042</v>
      </c>
      <c r="AK23" s="16">
        <f>SUM(K23:N23)</f>
        <v>1080</v>
      </c>
      <c r="AL23" s="16">
        <f>SUM(O23:R23)</f>
        <v>721</v>
      </c>
      <c r="AM23" s="20">
        <f>SUM(S23:V23)</f>
        <v>809</v>
      </c>
      <c r="AN23" s="16">
        <f>SUM(W23:Z23)</f>
        <v>796.375</v>
      </c>
      <c r="AO23" s="16">
        <f t="shared" ref="AO23:AU23" si="7">AVERAGE(AK23:AN23)</f>
        <v>851.59375</v>
      </c>
      <c r="AP23" s="16">
        <f t="shared" si="7"/>
        <v>794.4921875</v>
      </c>
      <c r="AQ23" s="16">
        <f t="shared" si="7"/>
        <v>812.865234375</v>
      </c>
      <c r="AR23" s="16">
        <f t="shared" si="7"/>
        <v>813.83154296875</v>
      </c>
      <c r="AS23" s="16">
        <f t="shared" si="7"/>
        <v>818.1956787109375</v>
      </c>
      <c r="AT23" s="16">
        <f t="shared" si="7"/>
        <v>809.84616088867188</v>
      </c>
      <c r="AU23" s="16">
        <f t="shared" si="7"/>
        <v>813.68465423583984</v>
      </c>
      <c r="BA23" s="11"/>
      <c r="BB23" s="33"/>
    </row>
    <row r="24" spans="1:54" x14ac:dyDescent="0.35">
      <c r="B24" s="6" t="s">
        <v>69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5">
        <v>717</v>
      </c>
      <c r="O24" s="15">
        <v>534</v>
      </c>
      <c r="P24" s="15">
        <v>305</v>
      </c>
      <c r="Q24" s="15">
        <v>558</v>
      </c>
      <c r="R24" s="15">
        <v>877</v>
      </c>
      <c r="S24" s="15">
        <v>695</v>
      </c>
      <c r="T24" s="15">
        <v>452</v>
      </c>
      <c r="U24" s="15">
        <v>285</v>
      </c>
      <c r="V24" s="15">
        <v>727</v>
      </c>
      <c r="W24" s="19">
        <v>339</v>
      </c>
      <c r="X24" s="16">
        <f>AVERAGE(T24,P24)*1.05</f>
        <v>397.42500000000001</v>
      </c>
      <c r="Y24" s="16">
        <f>AVERAGE(U24,Q24)*1.05</f>
        <v>442.57500000000005</v>
      </c>
      <c r="Z24" s="16">
        <f>AVERAGE(V24,R24)*1.05</f>
        <v>842.1</v>
      </c>
      <c r="AB24" s="16"/>
      <c r="AI24" s="16">
        <f>SUM(C24:F24)</f>
        <v>0</v>
      </c>
      <c r="AJ24" s="16">
        <f>SUM(G24:J24)</f>
        <v>0</v>
      </c>
      <c r="AK24" s="16">
        <f>SUM(K24:N24)</f>
        <v>717</v>
      </c>
      <c r="AL24" s="16">
        <f>SUM(O24:R24)</f>
        <v>2274</v>
      </c>
      <c r="AM24" s="20">
        <f>SUM(S24:V24)</f>
        <v>2159</v>
      </c>
      <c r="AN24" s="16">
        <f>IF($AO$12=2,AM24*(1+$AM$12),IF($AO$12=1,AM24*(1+$AL$12),AM24*(1+$AN$12)))</f>
        <v>3562.35</v>
      </c>
      <c r="AO24" s="16">
        <f t="shared" ref="AO24:AU24" si="8">IF($AO$12=1,AN24*(1+$AL$12),IF($AO$12=2,AN24*(1+$AM$12),AN24*(1+$AN$12)))</f>
        <v>5877.8774999999996</v>
      </c>
      <c r="AP24" s="16">
        <f t="shared" si="8"/>
        <v>9698.4978749999991</v>
      </c>
      <c r="AQ24" s="16">
        <f t="shared" si="8"/>
        <v>16002.521493749997</v>
      </c>
      <c r="AR24" s="16">
        <f t="shared" si="8"/>
        <v>26404.160464687495</v>
      </c>
      <c r="AS24" s="16">
        <f t="shared" si="8"/>
        <v>43566.864766734361</v>
      </c>
      <c r="AT24" s="16">
        <f t="shared" si="8"/>
        <v>71885.326865111696</v>
      </c>
      <c r="AU24" s="16">
        <f t="shared" si="8"/>
        <v>118610.78932743429</v>
      </c>
    </row>
    <row r="25" spans="1:54" x14ac:dyDescent="0.35">
      <c r="B25" s="6" t="s">
        <v>70</v>
      </c>
      <c r="C25" s="15">
        <v>11795</v>
      </c>
      <c r="D25" s="15">
        <v>13038</v>
      </c>
      <c r="E25" s="15">
        <v>13539</v>
      </c>
      <c r="F25" s="15">
        <v>16640</v>
      </c>
      <c r="G25" s="15">
        <v>14912</v>
      </c>
      <c r="H25" s="15">
        <v>16624</v>
      </c>
      <c r="I25" s="15">
        <v>17383</v>
      </c>
      <c r="J25" s="15">
        <v>20736</v>
      </c>
      <c r="K25" s="16">
        <f>SUM(K19:K22)</f>
        <v>17440</v>
      </c>
      <c r="L25" s="16">
        <f>SUM(L19:L22)</f>
        <v>18321</v>
      </c>
      <c r="M25" s="16">
        <f t="shared" ref="M25:V25" si="9">SUM(M19:M22)</f>
        <v>21221</v>
      </c>
      <c r="N25" s="16">
        <f t="shared" si="9"/>
        <v>27187</v>
      </c>
      <c r="O25" s="16">
        <f t="shared" si="9"/>
        <v>25439</v>
      </c>
      <c r="P25" s="16">
        <f t="shared" si="9"/>
        <v>28580</v>
      </c>
      <c r="Q25" s="16">
        <f t="shared" si="9"/>
        <v>28276</v>
      </c>
      <c r="R25" s="16">
        <f t="shared" si="9"/>
        <v>32639</v>
      </c>
      <c r="S25" s="16">
        <f t="shared" si="9"/>
        <v>26998</v>
      </c>
      <c r="T25" s="16">
        <f t="shared" si="9"/>
        <v>28152</v>
      </c>
      <c r="U25" s="16">
        <f t="shared" si="9"/>
        <v>27237</v>
      </c>
      <c r="V25" s="16">
        <f t="shared" si="9"/>
        <v>31254</v>
      </c>
      <c r="W25" s="20">
        <f>SUM(W19:W22)</f>
        <v>28101</v>
      </c>
      <c r="X25" s="16">
        <f>T25*1.05</f>
        <v>29559.600000000002</v>
      </c>
      <c r="Y25" s="16">
        <f>U25*1.05</f>
        <v>28598.850000000002</v>
      </c>
      <c r="Z25" s="16">
        <f>V25*1.05</f>
        <v>32816.700000000004</v>
      </c>
      <c r="AD25" s="10">
        <v>7872</v>
      </c>
      <c r="AE25" s="10">
        <v>12466</v>
      </c>
      <c r="AF25" s="10">
        <v>17928</v>
      </c>
      <c r="AG25" s="10">
        <v>27638</v>
      </c>
      <c r="AH25" s="10">
        <v>40653</v>
      </c>
      <c r="AI25" s="10">
        <f>SUM(C25:F25)</f>
        <v>55012</v>
      </c>
      <c r="AJ25" s="10">
        <f>SUM(G25:J25)</f>
        <v>69655</v>
      </c>
      <c r="AK25" s="16">
        <f>SUM(K25:N25)</f>
        <v>84169</v>
      </c>
      <c r="AL25" s="16">
        <f>SUM(O25:R25)</f>
        <v>114934</v>
      </c>
      <c r="AM25" s="20">
        <f>SUM(S25:V25)</f>
        <v>113641</v>
      </c>
      <c r="AN25" s="16">
        <f>SUM($W$25:$Z$25)</f>
        <v>119076.15000000002</v>
      </c>
      <c r="AO25" s="16">
        <f>IF($AO$11=1,AN25*(1+$AL$11),IF($AO$11=2,AN25*(1+$AM$11),AN25*(1+$AN$11)))</f>
        <v>113122.34250000001</v>
      </c>
      <c r="AP25" s="16">
        <f t="shared" ref="AO25:AU25" si="10">IF($AO$11=1,AO25*(1+$AL$11),IF($AO$11=2,AO25*(1+$AM$11),AO25*(1+$AN$11)))</f>
        <v>107466.22537500001</v>
      </c>
      <c r="AQ25" s="16">
        <f t="shared" si="10"/>
        <v>102092.91410625</v>
      </c>
      <c r="AR25" s="16">
        <f t="shared" si="10"/>
        <v>96988.268400937493</v>
      </c>
      <c r="AS25" s="16">
        <f t="shared" si="10"/>
        <v>92138.85498089061</v>
      </c>
      <c r="AT25" s="16">
        <f t="shared" si="10"/>
        <v>87531.912231846072</v>
      </c>
      <c r="AU25" s="16">
        <f t="shared" si="10"/>
        <v>83155.316620253769</v>
      </c>
    </row>
    <row r="26" spans="1:54" x14ac:dyDescent="0.35">
      <c r="B26" s="8" t="s">
        <v>71</v>
      </c>
      <c r="C26" s="16">
        <f t="shared" ref="C26:J26" si="11">SUM(C23:C25)</f>
        <v>11966</v>
      </c>
      <c r="D26" s="16">
        <f t="shared" si="11"/>
        <v>13231</v>
      </c>
      <c r="E26" s="16">
        <f t="shared" si="11"/>
        <v>13727</v>
      </c>
      <c r="F26" s="16">
        <f t="shared" si="11"/>
        <v>16914</v>
      </c>
      <c r="G26" s="16">
        <f t="shared" si="11"/>
        <v>15077</v>
      </c>
      <c r="H26" s="16">
        <f t="shared" si="11"/>
        <v>16886</v>
      </c>
      <c r="I26" s="16">
        <f t="shared" si="11"/>
        <v>17652</v>
      </c>
      <c r="J26" s="16">
        <f t="shared" si="11"/>
        <v>21082</v>
      </c>
      <c r="K26" s="16">
        <f>K25+SUM(K23:K24)</f>
        <v>17737</v>
      </c>
      <c r="L26" s="16">
        <f t="shared" ref="L26:W26" si="12">L25+SUM(L23:L24)</f>
        <v>18687</v>
      </c>
      <c r="M26" s="16">
        <f t="shared" si="12"/>
        <v>21470</v>
      </c>
      <c r="N26" s="16">
        <f t="shared" si="12"/>
        <v>28072</v>
      </c>
      <c r="O26" s="16">
        <f t="shared" si="12"/>
        <v>26171</v>
      </c>
      <c r="P26" s="16">
        <f t="shared" si="12"/>
        <v>29077</v>
      </c>
      <c r="Q26" s="16">
        <f t="shared" si="12"/>
        <v>29010</v>
      </c>
      <c r="R26" s="16">
        <f t="shared" si="12"/>
        <v>33671</v>
      </c>
      <c r="S26" s="16">
        <f t="shared" si="12"/>
        <v>27908</v>
      </c>
      <c r="T26" s="16">
        <f t="shared" si="12"/>
        <v>28822</v>
      </c>
      <c r="U26" s="16">
        <f t="shared" si="12"/>
        <v>27714</v>
      </c>
      <c r="V26" s="16">
        <f t="shared" si="12"/>
        <v>32165</v>
      </c>
      <c r="W26" s="20">
        <f>W25+SUM(W23:W24)</f>
        <v>28645</v>
      </c>
      <c r="X26" s="16">
        <f>SUM(X23:X25)</f>
        <v>30151.525000000001</v>
      </c>
      <c r="Y26" s="16">
        <f>SUM(Y23:Y25)</f>
        <v>29241.175000000003</v>
      </c>
      <c r="Z26" s="16">
        <f>SUM(Z23:Z25)</f>
        <v>33855.925000000003</v>
      </c>
      <c r="AB26" s="16"/>
      <c r="AD26" s="10">
        <f>SUM(AD23:AD25)</f>
        <v>7872</v>
      </c>
      <c r="AE26" s="10">
        <f t="shared" ref="AE26:AL26" si="13">SUM(AE23:AE25)</f>
        <v>12466</v>
      </c>
      <c r="AF26" s="10">
        <f t="shared" si="13"/>
        <v>17928</v>
      </c>
      <c r="AG26" s="10">
        <f t="shared" si="13"/>
        <v>27638</v>
      </c>
      <c r="AH26" s="10">
        <f t="shared" si="13"/>
        <v>40653</v>
      </c>
      <c r="AI26" s="10">
        <f>SUM(AI23:AI25)</f>
        <v>55838</v>
      </c>
      <c r="AJ26" s="10">
        <f t="shared" si="13"/>
        <v>70697</v>
      </c>
      <c r="AK26" s="10">
        <f t="shared" si="13"/>
        <v>85966</v>
      </c>
      <c r="AL26" s="10">
        <f t="shared" si="13"/>
        <v>117929</v>
      </c>
      <c r="AM26" s="22">
        <f>SUM(AM23:AM25)</f>
        <v>116609</v>
      </c>
      <c r="AN26" s="16">
        <f>SUM(AN23:AN25)</f>
        <v>123434.87500000003</v>
      </c>
      <c r="AO26" s="16">
        <f>SUM(AO23:AO25)</f>
        <v>119851.81375000002</v>
      </c>
      <c r="AP26" s="16">
        <f t="shared" ref="AP26:AU26" si="14">SUM(AP23:AP25)</f>
        <v>117959.21543750001</v>
      </c>
      <c r="AQ26" s="16">
        <f t="shared" si="14"/>
        <v>118908.300834375</v>
      </c>
      <c r="AR26" s="16">
        <f t="shared" si="14"/>
        <v>124206.26040859373</v>
      </c>
      <c r="AS26" s="16">
        <f t="shared" si="14"/>
        <v>136523.91542633591</v>
      </c>
      <c r="AT26" s="16">
        <f t="shared" si="14"/>
        <v>160227.08525784645</v>
      </c>
      <c r="AU26" s="16">
        <f t="shared" si="14"/>
        <v>202579.79060192389</v>
      </c>
      <c r="BA26" s="33"/>
    </row>
    <row r="27" spans="1:54" x14ac:dyDescent="0.35">
      <c r="C27" s="16"/>
      <c r="D27" s="16"/>
      <c r="E27" s="16"/>
      <c r="F27" s="16">
        <f>SUM(C26:F26)</f>
        <v>55838</v>
      </c>
      <c r="G27" s="16"/>
      <c r="H27" s="16"/>
      <c r="I27" s="16"/>
      <c r="J27" s="16">
        <f>SUM(G26:J26)</f>
        <v>70697</v>
      </c>
      <c r="K27" s="16"/>
      <c r="L27" s="16"/>
      <c r="M27" s="16"/>
      <c r="N27" s="16">
        <f>SUM(K26:N26)</f>
        <v>85966</v>
      </c>
      <c r="O27" s="16"/>
      <c r="P27" s="16"/>
      <c r="Q27" s="16"/>
      <c r="R27" s="16">
        <f>SUM(O26:R26)</f>
        <v>117929</v>
      </c>
      <c r="S27" s="16"/>
      <c r="T27" s="16"/>
      <c r="U27" s="16"/>
      <c r="V27" s="16">
        <f>SUM(S26:V26)</f>
        <v>116609</v>
      </c>
      <c r="W27" s="20"/>
      <c r="X27" s="16"/>
      <c r="Y27" s="16"/>
      <c r="Z27" s="16">
        <f>SUM(W26:Z26)</f>
        <v>121893.62500000001</v>
      </c>
      <c r="AB27" s="12"/>
      <c r="AM27" s="6"/>
      <c r="AN27" s="11"/>
      <c r="AO27" s="12"/>
      <c r="AP27" s="12"/>
      <c r="AQ27" s="12"/>
      <c r="AR27" s="12"/>
      <c r="AS27" s="12"/>
      <c r="AT27" s="12"/>
      <c r="AU27" s="12"/>
      <c r="AV27" s="16"/>
      <c r="AW27" s="12"/>
    </row>
    <row r="28" spans="1:54" x14ac:dyDescent="0.35">
      <c r="B28" s="6" t="s">
        <v>72</v>
      </c>
      <c r="C28" s="15">
        <v>1927</v>
      </c>
      <c r="D28" s="15">
        <v>2214</v>
      </c>
      <c r="E28" s="15">
        <v>2418</v>
      </c>
      <c r="F28" s="15">
        <v>2796</v>
      </c>
      <c r="G28" s="15">
        <v>2816</v>
      </c>
      <c r="H28" s="15">
        <v>3307</v>
      </c>
      <c r="I28" s="15">
        <v>3155</v>
      </c>
      <c r="J28" s="15">
        <v>3492</v>
      </c>
      <c r="K28" s="15">
        <v>3459</v>
      </c>
      <c r="L28" s="15">
        <v>3829</v>
      </c>
      <c r="M28" s="15">
        <v>4194</v>
      </c>
      <c r="N28" s="15">
        <v>5210</v>
      </c>
      <c r="O28" s="15">
        <v>5131</v>
      </c>
      <c r="P28" s="15">
        <v>5399</v>
      </c>
      <c r="Q28" s="15">
        <v>5771</v>
      </c>
      <c r="R28" s="15">
        <v>6348</v>
      </c>
      <c r="S28" s="15">
        <v>6005</v>
      </c>
      <c r="T28" s="15">
        <v>5192</v>
      </c>
      <c r="U28" s="15">
        <v>5716</v>
      </c>
      <c r="V28" s="15">
        <v>8336</v>
      </c>
      <c r="W28" s="19">
        <v>6108</v>
      </c>
      <c r="X28" s="16">
        <f>X26-X29</f>
        <v>6473.4143536211268</v>
      </c>
      <c r="Y28" s="16">
        <f>Y26-Y29</f>
        <v>6530.579652567787</v>
      </c>
      <c r="Z28" s="16">
        <f>Z26-Z29</f>
        <v>7705.8266013002358</v>
      </c>
      <c r="AI28" s="16">
        <f>AI26-AI29</f>
        <v>9355</v>
      </c>
      <c r="AJ28" s="16">
        <f t="shared" ref="AJ28:AT28" si="15">AJ26-AJ29</f>
        <v>12770</v>
      </c>
      <c r="AK28" s="16">
        <f t="shared" si="15"/>
        <v>16692</v>
      </c>
      <c r="AL28" s="16">
        <f t="shared" si="15"/>
        <v>22649</v>
      </c>
      <c r="AM28" s="20">
        <f>AM26-AM29</f>
        <v>25249</v>
      </c>
      <c r="AN28" s="16">
        <f>AN26-AN29</f>
        <v>25921.323749999996</v>
      </c>
      <c r="AO28" s="16">
        <f t="shared" si="15"/>
        <v>25168.880887499996</v>
      </c>
      <c r="AP28" s="16">
        <f t="shared" si="15"/>
        <v>24771.435241874991</v>
      </c>
      <c r="AQ28" s="16">
        <f t="shared" si="15"/>
        <v>24970.74317521874</v>
      </c>
      <c r="AR28" s="16">
        <f t="shared" si="15"/>
        <v>26083.314685804682</v>
      </c>
      <c r="AS28" s="16">
        <f t="shared" si="15"/>
        <v>28670.022239530532</v>
      </c>
      <c r="AT28" s="16">
        <f t="shared" si="15"/>
        <v>33647.687904147751</v>
      </c>
      <c r="AU28" s="16">
        <f>AU26-AU29</f>
        <v>42541.756026404008</v>
      </c>
    </row>
    <row r="29" spans="1:54" x14ac:dyDescent="0.35">
      <c r="B29" s="6" t="s">
        <v>73</v>
      </c>
      <c r="C29" s="16">
        <f t="shared" ref="C29:I29" si="16">C26-C28</f>
        <v>10039</v>
      </c>
      <c r="D29" s="16">
        <f t="shared" si="16"/>
        <v>11017</v>
      </c>
      <c r="E29" s="16">
        <f t="shared" si="16"/>
        <v>11309</v>
      </c>
      <c r="F29" s="16">
        <f t="shared" si="16"/>
        <v>14118</v>
      </c>
      <c r="G29" s="16">
        <f t="shared" si="16"/>
        <v>12261</v>
      </c>
      <c r="H29" s="16">
        <f t="shared" si="16"/>
        <v>13579</v>
      </c>
      <c r="I29" s="16">
        <f t="shared" si="16"/>
        <v>14497</v>
      </c>
      <c r="J29" s="16">
        <f t="shared" ref="J29:V29" si="17">J26-J28</f>
        <v>17590</v>
      </c>
      <c r="K29" s="16">
        <f t="shared" si="17"/>
        <v>14278</v>
      </c>
      <c r="L29" s="16">
        <f t="shared" si="17"/>
        <v>14858</v>
      </c>
      <c r="M29" s="16">
        <f t="shared" si="17"/>
        <v>17276</v>
      </c>
      <c r="N29" s="16">
        <f t="shared" si="17"/>
        <v>22862</v>
      </c>
      <c r="O29" s="16">
        <f t="shared" si="17"/>
        <v>21040</v>
      </c>
      <c r="P29" s="16">
        <f t="shared" si="17"/>
        <v>23678</v>
      </c>
      <c r="Q29" s="16">
        <f t="shared" si="17"/>
        <v>23239</v>
      </c>
      <c r="R29" s="16">
        <f t="shared" si="17"/>
        <v>27323</v>
      </c>
      <c r="S29" s="16">
        <f t="shared" si="17"/>
        <v>21903</v>
      </c>
      <c r="T29" s="16">
        <f t="shared" si="17"/>
        <v>23630</v>
      </c>
      <c r="U29" s="16">
        <f t="shared" si="17"/>
        <v>21998</v>
      </c>
      <c r="V29" s="16">
        <f t="shared" si="17"/>
        <v>23829</v>
      </c>
      <c r="W29" s="20">
        <f>W26-W28</f>
        <v>22537</v>
      </c>
      <c r="X29" s="16">
        <f>X26*AVERAGE(T50:W50)</f>
        <v>23678.110646378875</v>
      </c>
      <c r="Y29" s="16">
        <f>Y26*AVERAGE(U50:X50)</f>
        <v>22710.595347432216</v>
      </c>
      <c r="Z29" s="16">
        <f>Z26*AVERAGE(V50:Y50)</f>
        <v>26150.098398699767</v>
      </c>
      <c r="AI29" s="16">
        <f>SUM(C29:F29)</f>
        <v>46483</v>
      </c>
      <c r="AJ29" s="16">
        <f>SUM(G29:J29)</f>
        <v>57927</v>
      </c>
      <c r="AK29" s="16">
        <f>SUM(K29:N29)</f>
        <v>69274</v>
      </c>
      <c r="AL29" s="16">
        <f>SUM(O29:R29)</f>
        <v>95280</v>
      </c>
      <c r="AM29" s="20">
        <f>SUM(S29:V29)</f>
        <v>91360</v>
      </c>
      <c r="AN29" s="16">
        <f t="shared" ref="AN29:AU29" si="18">IF($AO$13=1,AN26*$AL$13,IF($AO$13=2,AN26*$AM$13,AN26*$AN$13))</f>
        <v>97513.551250000033</v>
      </c>
      <c r="AO29" s="16">
        <f t="shared" si="18"/>
        <v>94682.93286250002</v>
      </c>
      <c r="AP29" s="16">
        <f t="shared" si="18"/>
        <v>93187.780195625019</v>
      </c>
      <c r="AQ29" s="16">
        <f t="shared" si="18"/>
        <v>93937.557659156257</v>
      </c>
      <c r="AR29" s="16">
        <f t="shared" si="18"/>
        <v>98122.945722789053</v>
      </c>
      <c r="AS29" s="16">
        <f t="shared" si="18"/>
        <v>107853.89318680538</v>
      </c>
      <c r="AT29" s="16">
        <f t="shared" si="18"/>
        <v>126579.3973536987</v>
      </c>
      <c r="AU29" s="16">
        <f t="shared" si="18"/>
        <v>160038.03457551988</v>
      </c>
    </row>
    <row r="30" spans="1:54" x14ac:dyDescent="0.35">
      <c r="B30" s="6" t="s">
        <v>74</v>
      </c>
      <c r="C30" s="15">
        <v>2238</v>
      </c>
      <c r="D30" s="15">
        <v>2523</v>
      </c>
      <c r="E30" s="15">
        <v>2657</v>
      </c>
      <c r="F30" s="15">
        <v>2855</v>
      </c>
      <c r="G30" s="15">
        <v>2860</v>
      </c>
      <c r="H30" s="15">
        <v>3315</v>
      </c>
      <c r="I30" s="15">
        <v>3548</v>
      </c>
      <c r="J30" s="15">
        <v>3877</v>
      </c>
      <c r="K30" s="15">
        <v>4015</v>
      </c>
      <c r="L30" s="15">
        <v>4462</v>
      </c>
      <c r="M30" s="15">
        <v>4763</v>
      </c>
      <c r="N30" s="15">
        <v>5208</v>
      </c>
      <c r="O30" s="15">
        <v>5197</v>
      </c>
      <c r="P30" s="15">
        <v>6096</v>
      </c>
      <c r="Q30" s="15">
        <v>6316</v>
      </c>
      <c r="R30" s="15">
        <v>7046</v>
      </c>
      <c r="S30" s="15">
        <v>7707</v>
      </c>
      <c r="T30" s="15">
        <v>8690</v>
      </c>
      <c r="U30" s="15">
        <v>9170</v>
      </c>
      <c r="V30" s="15">
        <v>9771</v>
      </c>
      <c r="W30" s="19">
        <v>9381</v>
      </c>
      <c r="X30" s="16">
        <f>T30*0.95</f>
        <v>8255.5</v>
      </c>
      <c r="Y30" s="16">
        <f>U30*0.95</f>
        <v>8711.5</v>
      </c>
      <c r="Z30" s="16">
        <f>V30*0.95</f>
        <v>9282.4499999999989</v>
      </c>
      <c r="AB30" s="10"/>
      <c r="AD30" s="10"/>
      <c r="AI30" s="16">
        <f>SUM(C30:F30)</f>
        <v>10273</v>
      </c>
      <c r="AJ30" s="16">
        <f>SUM(G30:J30)</f>
        <v>13600</v>
      </c>
      <c r="AK30" s="16">
        <f>SUM(K30:N30)</f>
        <v>18448</v>
      </c>
      <c r="AL30" s="16">
        <f>SUM(O30:R30)</f>
        <v>24655</v>
      </c>
      <c r="AM30" s="20">
        <f>SUM(S30:V30)</f>
        <v>35338</v>
      </c>
      <c r="AN30" s="16">
        <f t="shared" ref="AN30:AU30" si="19">IF($AO$14=1,AM30*(1+$AL$14),IF($AO$14=2,AM30*(1+$AM$14),AM30*(1+$AN$14)))</f>
        <v>31804.2</v>
      </c>
      <c r="AO30" s="16">
        <f t="shared" si="19"/>
        <v>28623.780000000002</v>
      </c>
      <c r="AP30" s="16">
        <f t="shared" si="19"/>
        <v>25761.402000000002</v>
      </c>
      <c r="AQ30" s="16">
        <f t="shared" si="19"/>
        <v>23185.261800000004</v>
      </c>
      <c r="AR30" s="16">
        <f t="shared" si="19"/>
        <v>20866.735620000003</v>
      </c>
      <c r="AS30" s="16">
        <f t="shared" si="19"/>
        <v>18780.062058000003</v>
      </c>
      <c r="AT30" s="16">
        <f t="shared" si="19"/>
        <v>16902.055852200003</v>
      </c>
      <c r="AU30" s="16">
        <f t="shared" si="19"/>
        <v>15211.850266980004</v>
      </c>
    </row>
    <row r="31" spans="1:54" x14ac:dyDescent="0.35">
      <c r="B31" s="6" t="s">
        <v>75</v>
      </c>
      <c r="C31" s="15">
        <v>1595</v>
      </c>
      <c r="D31" s="15">
        <v>1855</v>
      </c>
      <c r="E31" s="15">
        <v>1928</v>
      </c>
      <c r="F31" s="15">
        <v>2467</v>
      </c>
      <c r="G31" s="15">
        <v>2020</v>
      </c>
      <c r="H31" s="15">
        <v>2414</v>
      </c>
      <c r="I31" s="15">
        <v>2416</v>
      </c>
      <c r="J31" s="15">
        <v>3026</v>
      </c>
      <c r="K31" s="15">
        <v>2787</v>
      </c>
      <c r="L31" s="15">
        <v>2840</v>
      </c>
      <c r="M31" s="15">
        <v>2683</v>
      </c>
      <c r="N31" s="15">
        <v>3280</v>
      </c>
      <c r="O31" s="15">
        <v>2843</v>
      </c>
      <c r="P31" s="15">
        <v>3259</v>
      </c>
      <c r="Q31" s="15">
        <v>3554</v>
      </c>
      <c r="R31" s="15">
        <v>4387</v>
      </c>
      <c r="S31" s="15">
        <v>3312</v>
      </c>
      <c r="T31" s="15">
        <v>3595</v>
      </c>
      <c r="U31" s="15">
        <v>3780</v>
      </c>
      <c r="V31" s="15">
        <v>4574</v>
      </c>
      <c r="W31" s="19">
        <v>3044</v>
      </c>
      <c r="X31" s="16">
        <f t="shared" ref="X31:Z32" si="20">T31*0.9</f>
        <v>3235.5</v>
      </c>
      <c r="Y31" s="16">
        <f t="shared" si="20"/>
        <v>3402</v>
      </c>
      <c r="Z31" s="16">
        <f t="shared" si="20"/>
        <v>4116.6000000000004</v>
      </c>
      <c r="AB31" s="10"/>
      <c r="AI31" s="16">
        <f>SUM(C31:F31)</f>
        <v>7845</v>
      </c>
      <c r="AJ31" s="16">
        <f>SUM(G31:J31)</f>
        <v>9876</v>
      </c>
      <c r="AK31" s="16">
        <f>SUM(K31:N31)</f>
        <v>11590</v>
      </c>
      <c r="AL31" s="16">
        <f>SUM(O31:R31)</f>
        <v>14043</v>
      </c>
      <c r="AM31" s="20">
        <f>SUM(S31:V31)</f>
        <v>15261</v>
      </c>
      <c r="AN31" s="16">
        <f t="shared" ref="AN31:AU31" si="21">IF($AO$15=1,AN26*$AL$15,IF($AO$15=2,AN26*$AM$15,AN26*$AN$15))</f>
        <v>17280.882500000007</v>
      </c>
      <c r="AO31" s="16">
        <f t="shared" si="21"/>
        <v>16779.253925000005</v>
      </c>
      <c r="AP31" s="16">
        <f t="shared" si="21"/>
        <v>16514.290161250003</v>
      </c>
      <c r="AQ31" s="16">
        <f t="shared" si="21"/>
        <v>16647.162116812502</v>
      </c>
      <c r="AR31" s="16">
        <f t="shared" si="21"/>
        <v>17388.876457203125</v>
      </c>
      <c r="AS31" s="16">
        <f t="shared" si="21"/>
        <v>19113.34815968703</v>
      </c>
      <c r="AT31" s="16">
        <f t="shared" si="21"/>
        <v>22431.791936098507</v>
      </c>
      <c r="AU31" s="16">
        <f t="shared" si="21"/>
        <v>28361.170684269346</v>
      </c>
    </row>
    <row r="32" spans="1:54" x14ac:dyDescent="0.35">
      <c r="B32" s="6" t="s">
        <v>76</v>
      </c>
      <c r="C32" s="15">
        <v>757</v>
      </c>
      <c r="D32" s="15">
        <v>776</v>
      </c>
      <c r="E32" s="15">
        <v>943</v>
      </c>
      <c r="F32" s="15">
        <v>976</v>
      </c>
      <c r="G32" s="15">
        <f>4064-3000</f>
        <v>1064</v>
      </c>
      <c r="H32" s="15">
        <f>3224-2000</f>
        <v>1224</v>
      </c>
      <c r="I32" s="15">
        <v>1348</v>
      </c>
      <c r="J32" s="15">
        <v>1829</v>
      </c>
      <c r="K32" s="15">
        <v>1583</v>
      </c>
      <c r="L32" s="15">
        <v>1593</v>
      </c>
      <c r="M32" s="15">
        <v>1790</v>
      </c>
      <c r="N32" s="15">
        <v>1599</v>
      </c>
      <c r="O32" s="15">
        <v>1622</v>
      </c>
      <c r="P32" s="15">
        <v>1956</v>
      </c>
      <c r="Q32" s="15">
        <v>2946</v>
      </c>
      <c r="R32" s="15">
        <v>3305</v>
      </c>
      <c r="S32" s="15">
        <v>2360</v>
      </c>
      <c r="T32" s="15">
        <v>2987</v>
      </c>
      <c r="U32" s="15">
        <v>3384</v>
      </c>
      <c r="V32" s="15">
        <v>3085</v>
      </c>
      <c r="W32" s="19">
        <v>2885</v>
      </c>
      <c r="X32" s="16">
        <f t="shared" si="20"/>
        <v>2688.3</v>
      </c>
      <c r="Y32" s="16">
        <f t="shared" si="20"/>
        <v>3045.6</v>
      </c>
      <c r="Z32" s="16">
        <f t="shared" si="20"/>
        <v>2776.5</v>
      </c>
      <c r="AB32" s="10"/>
      <c r="AI32" s="16">
        <f>SUM(C32:F32)</f>
        <v>3452</v>
      </c>
      <c r="AJ32" s="16">
        <f>SUM(G32:J32)</f>
        <v>5465</v>
      </c>
      <c r="AK32" s="16">
        <f>SUM(K32:N32)</f>
        <v>6565</v>
      </c>
      <c r="AL32" s="16">
        <f>SUM(O32:R32)</f>
        <v>9829</v>
      </c>
      <c r="AM32" s="20">
        <f>SUM(S32:V32)</f>
        <v>11816</v>
      </c>
      <c r="AN32" s="16">
        <f t="shared" ref="AN32:AU32" si="22">IF($AO$16=1,AN26*$AL$16,IF($AO$16=2,AN26*$AM$16,AN26*$AN$16))</f>
        <v>9874.7900000000027</v>
      </c>
      <c r="AO32" s="16">
        <f t="shared" si="22"/>
        <v>9588.1451000000015</v>
      </c>
      <c r="AP32" s="16">
        <f t="shared" si="22"/>
        <v>9436.7372350000005</v>
      </c>
      <c r="AQ32" s="16">
        <f t="shared" si="22"/>
        <v>9512.6640667499996</v>
      </c>
      <c r="AR32" s="16">
        <f t="shared" si="22"/>
        <v>9936.5008326874995</v>
      </c>
      <c r="AS32" s="16">
        <f t="shared" si="22"/>
        <v>10921.913234106873</v>
      </c>
      <c r="AT32" s="16">
        <f t="shared" si="22"/>
        <v>12818.166820627717</v>
      </c>
      <c r="AU32" s="16">
        <f t="shared" si="22"/>
        <v>16206.383248153912</v>
      </c>
    </row>
    <row r="33" spans="1:138" x14ac:dyDescent="0.35">
      <c r="B33" s="6" t="s">
        <v>77</v>
      </c>
      <c r="C33" s="16">
        <f>SUM(C30:C32)</f>
        <v>4590</v>
      </c>
      <c r="D33" s="16">
        <f t="shared" ref="D33:V33" si="23">SUM(D30:D32)</f>
        <v>5154</v>
      </c>
      <c r="E33" s="16">
        <f t="shared" si="23"/>
        <v>5528</v>
      </c>
      <c r="F33" s="16">
        <f t="shared" si="23"/>
        <v>6298</v>
      </c>
      <c r="G33" s="16">
        <f t="shared" si="23"/>
        <v>5944</v>
      </c>
      <c r="H33" s="16">
        <f t="shared" si="23"/>
        <v>6953</v>
      </c>
      <c r="I33" s="16">
        <f t="shared" si="23"/>
        <v>7312</v>
      </c>
      <c r="J33" s="16">
        <f t="shared" si="23"/>
        <v>8732</v>
      </c>
      <c r="K33" s="16">
        <f t="shared" si="23"/>
        <v>8385</v>
      </c>
      <c r="L33" s="16">
        <f t="shared" si="23"/>
        <v>8895</v>
      </c>
      <c r="M33" s="16">
        <f t="shared" si="23"/>
        <v>9236</v>
      </c>
      <c r="N33" s="16">
        <f t="shared" si="23"/>
        <v>10087</v>
      </c>
      <c r="O33" s="16">
        <f t="shared" si="23"/>
        <v>9662</v>
      </c>
      <c r="P33" s="16">
        <f t="shared" si="23"/>
        <v>11311</v>
      </c>
      <c r="Q33" s="16">
        <f t="shared" si="23"/>
        <v>12816</v>
      </c>
      <c r="R33" s="16">
        <f t="shared" si="23"/>
        <v>14738</v>
      </c>
      <c r="S33" s="16">
        <f t="shared" si="23"/>
        <v>13379</v>
      </c>
      <c r="T33" s="16">
        <f t="shared" si="23"/>
        <v>15272</v>
      </c>
      <c r="U33" s="16">
        <f t="shared" si="23"/>
        <v>16334</v>
      </c>
      <c r="V33" s="16">
        <f t="shared" si="23"/>
        <v>17430</v>
      </c>
      <c r="W33" s="20">
        <f>SUM(W30:W32)</f>
        <v>15310</v>
      </c>
      <c r="X33" s="16">
        <f>SUM(X30:X32)</f>
        <v>14179.3</v>
      </c>
      <c r="Y33" s="16">
        <f>SUM(Y30:Y32)</f>
        <v>15159.1</v>
      </c>
      <c r="Z33" s="16">
        <f>SUM(Z30:Z32)</f>
        <v>16175.55</v>
      </c>
      <c r="AI33" s="16">
        <f>SUM(AI30:AI32)</f>
        <v>21570</v>
      </c>
      <c r="AJ33" s="16">
        <f t="shared" ref="AJ33:AU33" si="24">SUM(AJ30:AJ32)</f>
        <v>28941</v>
      </c>
      <c r="AK33" s="16">
        <f>SUM(AK30:AK32)</f>
        <v>36603</v>
      </c>
      <c r="AL33" s="16">
        <f t="shared" si="24"/>
        <v>48527</v>
      </c>
      <c r="AM33" s="20">
        <f t="shared" si="24"/>
        <v>62415</v>
      </c>
      <c r="AN33" s="16">
        <f>SUM(AN30:AN32)</f>
        <v>58959.872500000005</v>
      </c>
      <c r="AO33" s="16">
        <f t="shared" si="24"/>
        <v>54991.179025000012</v>
      </c>
      <c r="AP33" s="16">
        <f t="shared" si="24"/>
        <v>51712.429396250001</v>
      </c>
      <c r="AQ33" s="16">
        <f>SUM(AQ30:AQ32)</f>
        <v>49345.087983562509</v>
      </c>
      <c r="AR33" s="16">
        <f t="shared" si="24"/>
        <v>48192.112909890624</v>
      </c>
      <c r="AS33" s="16">
        <f t="shared" si="24"/>
        <v>48815.323451793913</v>
      </c>
      <c r="AT33" s="16">
        <f>SUM(AT30:AT32)</f>
        <v>52152.014608926227</v>
      </c>
      <c r="AU33" s="16">
        <f t="shared" si="24"/>
        <v>59779.40419940326</v>
      </c>
    </row>
    <row r="34" spans="1:138" x14ac:dyDescent="0.35">
      <c r="B34" s="6" t="s">
        <v>78</v>
      </c>
      <c r="C34" s="16">
        <f>C29-C33</f>
        <v>5449</v>
      </c>
      <c r="D34" s="16">
        <f t="shared" ref="D34:W34" si="25">D29-D33</f>
        <v>5863</v>
      </c>
      <c r="E34" s="16">
        <f t="shared" si="25"/>
        <v>5781</v>
      </c>
      <c r="F34" s="16">
        <f t="shared" si="25"/>
        <v>7820</v>
      </c>
      <c r="G34" s="16">
        <f t="shared" si="25"/>
        <v>6317</v>
      </c>
      <c r="H34" s="16">
        <f t="shared" si="25"/>
        <v>6626</v>
      </c>
      <c r="I34" s="16">
        <f t="shared" si="25"/>
        <v>7185</v>
      </c>
      <c r="J34" s="16">
        <f t="shared" si="25"/>
        <v>8858</v>
      </c>
      <c r="K34" s="16">
        <f t="shared" si="25"/>
        <v>5893</v>
      </c>
      <c r="L34" s="16">
        <f t="shared" si="25"/>
        <v>5963</v>
      </c>
      <c r="M34" s="16">
        <f t="shared" si="25"/>
        <v>8040</v>
      </c>
      <c r="N34" s="16">
        <f t="shared" si="25"/>
        <v>12775</v>
      </c>
      <c r="O34" s="16">
        <f t="shared" si="25"/>
        <v>11378</v>
      </c>
      <c r="P34" s="16">
        <f t="shared" si="25"/>
        <v>12367</v>
      </c>
      <c r="Q34" s="16">
        <f t="shared" si="25"/>
        <v>10423</v>
      </c>
      <c r="R34" s="16">
        <f t="shared" si="25"/>
        <v>12585</v>
      </c>
      <c r="S34" s="16">
        <f t="shared" si="25"/>
        <v>8524</v>
      </c>
      <c r="T34" s="16">
        <f t="shared" si="25"/>
        <v>8358</v>
      </c>
      <c r="U34" s="16">
        <f t="shared" si="25"/>
        <v>5664</v>
      </c>
      <c r="V34" s="16">
        <f t="shared" si="25"/>
        <v>6399</v>
      </c>
      <c r="W34" s="20">
        <f t="shared" si="25"/>
        <v>7227</v>
      </c>
      <c r="X34" s="16">
        <f>X29-X33</f>
        <v>9498.8106463788754</v>
      </c>
      <c r="Y34" s="16">
        <f>Y29-Y33</f>
        <v>7551.4953474322156</v>
      </c>
      <c r="Z34" s="16">
        <f>Z29-Z33</f>
        <v>9974.5483986997679</v>
      </c>
      <c r="AI34" s="16">
        <f>AI29-AI33</f>
        <v>24913</v>
      </c>
      <c r="AJ34" s="16">
        <f t="shared" ref="AJ34:AU34" si="26">AJ29-AJ33</f>
        <v>28986</v>
      </c>
      <c r="AK34" s="16">
        <f>AK29-AK33</f>
        <v>32671</v>
      </c>
      <c r="AL34" s="16">
        <f t="shared" si="26"/>
        <v>46753</v>
      </c>
      <c r="AM34" s="20">
        <f t="shared" si="26"/>
        <v>28945</v>
      </c>
      <c r="AN34" s="16">
        <f>AN29-AN33</f>
        <v>38553.678750000028</v>
      </c>
      <c r="AO34" s="16">
        <f t="shared" si="26"/>
        <v>39691.753837500008</v>
      </c>
      <c r="AP34" s="16">
        <f t="shared" si="26"/>
        <v>41475.350799375017</v>
      </c>
      <c r="AQ34" s="16">
        <f>AQ29-AQ33</f>
        <v>44592.469675593748</v>
      </c>
      <c r="AR34" s="16">
        <f t="shared" si="26"/>
        <v>49930.832812898429</v>
      </c>
      <c r="AS34" s="16">
        <f t="shared" si="26"/>
        <v>59038.569735011464</v>
      </c>
      <c r="AT34" s="16">
        <f>AT29-AT33</f>
        <v>74427.382744772476</v>
      </c>
      <c r="AU34" s="16">
        <f t="shared" si="26"/>
        <v>100258.63037611662</v>
      </c>
    </row>
    <row r="35" spans="1:138" x14ac:dyDescent="0.35">
      <c r="B35" s="6" t="s">
        <v>79</v>
      </c>
      <c r="C35" s="15">
        <v>161</v>
      </c>
      <c r="D35" s="15">
        <v>5</v>
      </c>
      <c r="E35" s="15">
        <v>131</v>
      </c>
      <c r="F35" s="15">
        <v>151</v>
      </c>
      <c r="G35" s="15">
        <v>206</v>
      </c>
      <c r="H35" s="15">
        <v>206</v>
      </c>
      <c r="I35" s="15">
        <v>144</v>
      </c>
      <c r="J35" s="15">
        <v>311</v>
      </c>
      <c r="K35" s="15">
        <v>-32</v>
      </c>
      <c r="L35" s="15">
        <v>168</v>
      </c>
      <c r="M35" s="15">
        <v>93</v>
      </c>
      <c r="N35" s="15">
        <v>280</v>
      </c>
      <c r="O35" s="15">
        <v>125</v>
      </c>
      <c r="P35" s="15">
        <v>146</v>
      </c>
      <c r="Q35" s="15">
        <v>142</v>
      </c>
      <c r="R35" s="15">
        <v>117</v>
      </c>
      <c r="S35" s="15">
        <v>384</v>
      </c>
      <c r="T35" s="15">
        <v>-172</v>
      </c>
      <c r="U35" s="15">
        <v>-88</v>
      </c>
      <c r="V35" s="15">
        <v>-250</v>
      </c>
      <c r="W35" s="20">
        <v>80</v>
      </c>
      <c r="X35" s="16">
        <f>W35</f>
        <v>80</v>
      </c>
      <c r="Y35" s="16">
        <f>X35</f>
        <v>80</v>
      </c>
      <c r="Z35" s="16">
        <f>Y35</f>
        <v>80</v>
      </c>
      <c r="AI35" s="16">
        <f>Z35</f>
        <v>80</v>
      </c>
      <c r="AJ35" s="16">
        <f>AI35</f>
        <v>80</v>
      </c>
      <c r="AK35" s="16">
        <f t="shared" ref="AK35:AU35" si="27">AJ35</f>
        <v>80</v>
      </c>
      <c r="AL35" s="16">
        <f t="shared" si="27"/>
        <v>80</v>
      </c>
      <c r="AM35" s="20">
        <f t="shared" si="27"/>
        <v>80</v>
      </c>
      <c r="AN35" s="16">
        <f>AM35</f>
        <v>80</v>
      </c>
      <c r="AO35" s="16">
        <f t="shared" si="27"/>
        <v>80</v>
      </c>
      <c r="AP35" s="16">
        <f t="shared" si="27"/>
        <v>80</v>
      </c>
      <c r="AQ35" s="16">
        <f t="shared" si="27"/>
        <v>80</v>
      </c>
      <c r="AR35" s="16">
        <f t="shared" si="27"/>
        <v>80</v>
      </c>
      <c r="AS35" s="16">
        <f t="shared" si="27"/>
        <v>80</v>
      </c>
      <c r="AT35" s="16">
        <f t="shared" si="27"/>
        <v>80</v>
      </c>
      <c r="AU35" s="16">
        <f t="shared" si="27"/>
        <v>80</v>
      </c>
    </row>
    <row r="36" spans="1:138" x14ac:dyDescent="0.35">
      <c r="B36" s="6" t="s">
        <v>80</v>
      </c>
      <c r="C36" s="16">
        <f>C34+C35</f>
        <v>5610</v>
      </c>
      <c r="D36" s="16">
        <f t="shared" ref="D36:W36" si="28">D34+D35</f>
        <v>5868</v>
      </c>
      <c r="E36" s="16">
        <f t="shared" si="28"/>
        <v>5912</v>
      </c>
      <c r="F36" s="16">
        <f t="shared" si="28"/>
        <v>7971</v>
      </c>
      <c r="G36" s="16">
        <f t="shared" si="28"/>
        <v>6523</v>
      </c>
      <c r="H36" s="16">
        <f t="shared" si="28"/>
        <v>6832</v>
      </c>
      <c r="I36" s="16">
        <f t="shared" si="28"/>
        <v>7329</v>
      </c>
      <c r="J36" s="16">
        <f t="shared" si="28"/>
        <v>9169</v>
      </c>
      <c r="K36" s="16">
        <f t="shared" si="28"/>
        <v>5861</v>
      </c>
      <c r="L36" s="16">
        <f t="shared" si="28"/>
        <v>6131</v>
      </c>
      <c r="M36" s="16">
        <f t="shared" si="28"/>
        <v>8133</v>
      </c>
      <c r="N36" s="16">
        <f t="shared" si="28"/>
        <v>13055</v>
      </c>
      <c r="O36" s="16">
        <f t="shared" si="28"/>
        <v>11503</v>
      </c>
      <c r="P36" s="16">
        <f t="shared" si="28"/>
        <v>12513</v>
      </c>
      <c r="Q36" s="16">
        <f t="shared" si="28"/>
        <v>10565</v>
      </c>
      <c r="R36" s="16">
        <f t="shared" si="28"/>
        <v>12702</v>
      </c>
      <c r="S36" s="16">
        <f t="shared" si="28"/>
        <v>8908</v>
      </c>
      <c r="T36" s="16">
        <f t="shared" si="28"/>
        <v>8186</v>
      </c>
      <c r="U36" s="16">
        <f t="shared" si="28"/>
        <v>5576</v>
      </c>
      <c r="V36" s="16">
        <f t="shared" si="28"/>
        <v>6149</v>
      </c>
      <c r="W36" s="20">
        <f t="shared" si="28"/>
        <v>7307</v>
      </c>
      <c r="X36" s="16">
        <f>X34+X35</f>
        <v>9578.8106463788754</v>
      </c>
      <c r="Y36" s="16">
        <f>Y34+Y35</f>
        <v>7631.4953474322156</v>
      </c>
      <c r="Z36" s="16">
        <f>Z34+Z35</f>
        <v>10054.548398699768</v>
      </c>
      <c r="AI36" s="16">
        <f>AI34+AI35</f>
        <v>24993</v>
      </c>
      <c r="AJ36" s="16">
        <f t="shared" ref="AJ36:AS36" si="29">AJ34+AJ35</f>
        <v>29066</v>
      </c>
      <c r="AK36" s="16">
        <f t="shared" si="29"/>
        <v>32751</v>
      </c>
      <c r="AL36" s="16">
        <f t="shared" si="29"/>
        <v>46833</v>
      </c>
      <c r="AM36" s="20">
        <f t="shared" si="29"/>
        <v>29025</v>
      </c>
      <c r="AN36" s="16">
        <f>AN34+AN35</f>
        <v>38633.678750000028</v>
      </c>
      <c r="AO36" s="16">
        <f t="shared" si="29"/>
        <v>39771.753837500008</v>
      </c>
      <c r="AP36" s="16">
        <f t="shared" si="29"/>
        <v>41555.350799375017</v>
      </c>
      <c r="AQ36" s="16">
        <f t="shared" si="29"/>
        <v>44672.469675593748</v>
      </c>
      <c r="AR36" s="16">
        <f t="shared" si="29"/>
        <v>50010.832812898429</v>
      </c>
      <c r="AS36" s="16">
        <f t="shared" si="29"/>
        <v>59118.569735011464</v>
      </c>
      <c r="AT36" s="16">
        <f>AT34+AT35</f>
        <v>74507.382744772476</v>
      </c>
      <c r="AU36" s="16">
        <f>AU34+AU35</f>
        <v>100338.63037611662</v>
      </c>
    </row>
    <row r="37" spans="1:138" x14ac:dyDescent="0.35">
      <c r="B37" s="6" t="s">
        <v>81</v>
      </c>
      <c r="C37" s="15">
        <f>622+1</f>
        <v>623</v>
      </c>
      <c r="D37" s="15">
        <v>762</v>
      </c>
      <c r="E37" s="15">
        <v>775</v>
      </c>
      <c r="F37" s="15">
        <v>1089</v>
      </c>
      <c r="G37" s="15">
        <v>2216</v>
      </c>
      <c r="H37" s="15">
        <v>2216</v>
      </c>
      <c r="I37" s="15">
        <v>1238</v>
      </c>
      <c r="J37" s="15">
        <v>1820</v>
      </c>
      <c r="K37" s="15">
        <v>959</v>
      </c>
      <c r="L37" s="15">
        <v>953</v>
      </c>
      <c r="M37" s="15">
        <v>287</v>
      </c>
      <c r="N37" s="15">
        <v>1836</v>
      </c>
      <c r="O37" s="15">
        <v>2006</v>
      </c>
      <c r="P37" s="15">
        <v>2119</v>
      </c>
      <c r="Q37" s="15">
        <v>1371</v>
      </c>
      <c r="R37" s="15">
        <v>2417</v>
      </c>
      <c r="S37" s="15">
        <v>1443</v>
      </c>
      <c r="T37" s="15">
        <v>1499</v>
      </c>
      <c r="U37" s="15">
        <v>1181</v>
      </c>
      <c r="V37" s="15">
        <v>1497</v>
      </c>
      <c r="W37" s="19">
        <v>1598</v>
      </c>
      <c r="X37" s="16">
        <f>X36*AVERAGE($V$52:$W$52)</f>
        <v>2213.4170742676251</v>
      </c>
      <c r="Y37" s="16">
        <f>Y36*AVERAGE($V$52:$W$52)</f>
        <v>1763.4425324595024</v>
      </c>
      <c r="Z37" s="16">
        <f>Z36*AVERAGE($V$52:$W$52)</f>
        <v>2323.3478477983494</v>
      </c>
      <c r="AI37" s="16">
        <f>SUM(C37:F37)</f>
        <v>3249</v>
      </c>
      <c r="AJ37" s="16">
        <f>SUM(G37:J37)</f>
        <v>7490</v>
      </c>
      <c r="AK37" s="16">
        <f>SUM(K37:N37)</f>
        <v>4035</v>
      </c>
      <c r="AL37" s="16">
        <f>SUM(O37:R37)</f>
        <v>7913</v>
      </c>
      <c r="AM37" s="20">
        <f>SUM(S37:V37)</f>
        <v>5620</v>
      </c>
      <c r="AN37" s="16">
        <f t="shared" ref="AN37:AU37" si="30">IF($AO$17=1,AN36*$AL$17,IF($AO$17=2,AN36*$AM$17,AN36*$AN$17))</f>
        <v>7726.7357500000062</v>
      </c>
      <c r="AO37" s="16">
        <f t="shared" si="30"/>
        <v>7954.3507675000019</v>
      </c>
      <c r="AP37" s="16">
        <f t="shared" si="30"/>
        <v>8311.0701598750038</v>
      </c>
      <c r="AQ37" s="16">
        <f t="shared" si="30"/>
        <v>8934.4939351187495</v>
      </c>
      <c r="AR37" s="16">
        <f t="shared" si="30"/>
        <v>10002.166562579687</v>
      </c>
      <c r="AS37" s="16">
        <f t="shared" si="30"/>
        <v>11823.713947002294</v>
      </c>
      <c r="AT37" s="16">
        <f t="shared" si="30"/>
        <v>14901.476548954495</v>
      </c>
      <c r="AU37" s="16">
        <f t="shared" si="30"/>
        <v>20067.726075223327</v>
      </c>
    </row>
    <row r="38" spans="1:138" x14ac:dyDescent="0.35">
      <c r="B38" s="6" t="s">
        <v>82</v>
      </c>
      <c r="C38" s="16">
        <f>C36-C37</f>
        <v>4987</v>
      </c>
      <c r="D38" s="16">
        <f t="shared" ref="D38:W38" si="31">D36-D37</f>
        <v>5106</v>
      </c>
      <c r="E38" s="16">
        <f t="shared" si="31"/>
        <v>5137</v>
      </c>
      <c r="F38" s="16">
        <f t="shared" si="31"/>
        <v>6882</v>
      </c>
      <c r="G38" s="16">
        <f t="shared" si="31"/>
        <v>4307</v>
      </c>
      <c r="H38" s="16">
        <f t="shared" si="31"/>
        <v>4616</v>
      </c>
      <c r="I38" s="16">
        <f t="shared" si="31"/>
        <v>6091</v>
      </c>
      <c r="J38" s="16">
        <f t="shared" si="31"/>
        <v>7349</v>
      </c>
      <c r="K38" s="16">
        <f t="shared" si="31"/>
        <v>4902</v>
      </c>
      <c r="L38" s="16">
        <f t="shared" si="31"/>
        <v>5178</v>
      </c>
      <c r="M38" s="16">
        <f t="shared" si="31"/>
        <v>7846</v>
      </c>
      <c r="N38" s="16">
        <f t="shared" si="31"/>
        <v>11219</v>
      </c>
      <c r="O38" s="16">
        <f t="shared" si="31"/>
        <v>9497</v>
      </c>
      <c r="P38" s="16">
        <f t="shared" si="31"/>
        <v>10394</v>
      </c>
      <c r="Q38" s="16">
        <f t="shared" si="31"/>
        <v>9194</v>
      </c>
      <c r="R38" s="16">
        <f t="shared" si="31"/>
        <v>10285</v>
      </c>
      <c r="S38" s="16">
        <f t="shared" si="31"/>
        <v>7465</v>
      </c>
      <c r="T38" s="16">
        <f t="shared" si="31"/>
        <v>6687</v>
      </c>
      <c r="U38" s="16">
        <f t="shared" si="31"/>
        <v>4395</v>
      </c>
      <c r="V38" s="16">
        <f t="shared" si="31"/>
        <v>4652</v>
      </c>
      <c r="W38" s="20">
        <f t="shared" si="31"/>
        <v>5709</v>
      </c>
      <c r="X38" s="16">
        <f>X36-X37</f>
        <v>7365.3935721112503</v>
      </c>
      <c r="Y38" s="16">
        <f>Y36-Y37</f>
        <v>5868.0528149727133</v>
      </c>
      <c r="Z38" s="16">
        <f>Z36-Z37</f>
        <v>7731.200550901418</v>
      </c>
      <c r="AI38" s="16">
        <f>AI36-AI37</f>
        <v>21744</v>
      </c>
      <c r="AJ38" s="16">
        <f t="shared" ref="AJ38:AS38" si="32">AJ36-AJ37</f>
        <v>21576</v>
      </c>
      <c r="AK38" s="16">
        <f t="shared" si="32"/>
        <v>28716</v>
      </c>
      <c r="AL38" s="16">
        <f t="shared" si="32"/>
        <v>38920</v>
      </c>
      <c r="AM38" s="20">
        <f>AM36-AM37</f>
        <v>23405</v>
      </c>
      <c r="AN38" s="16">
        <f>AN36-AN37</f>
        <v>30906.943000000021</v>
      </c>
      <c r="AO38" s="16">
        <f t="shared" si="32"/>
        <v>31817.403070000008</v>
      </c>
      <c r="AP38" s="16">
        <f t="shared" si="32"/>
        <v>33244.280639500015</v>
      </c>
      <c r="AQ38" s="16">
        <f t="shared" si="32"/>
        <v>35737.975740474998</v>
      </c>
      <c r="AR38" s="16">
        <f t="shared" si="32"/>
        <v>40008.66625031874</v>
      </c>
      <c r="AS38" s="16">
        <f t="shared" si="32"/>
        <v>47294.855788009168</v>
      </c>
      <c r="AT38" s="16">
        <f>AT36-AT37</f>
        <v>59605.906195817981</v>
      </c>
      <c r="AU38" s="16">
        <f>AU36-AU37</f>
        <v>80270.904300893293</v>
      </c>
      <c r="AV38" s="16">
        <f>AU38*(1+$AR$11)</f>
        <v>77862.777171866488</v>
      </c>
      <c r="AW38" s="16">
        <f t="shared" ref="AV38:CA38" si="33">AV38*(1+$AR$11)</f>
        <v>75526.893856710492</v>
      </c>
      <c r="AX38" s="16">
        <f t="shared" si="33"/>
        <v>73261.087041009174</v>
      </c>
      <c r="AY38" s="16">
        <f t="shared" si="33"/>
        <v>71063.254429778899</v>
      </c>
      <c r="AZ38" s="16">
        <f t="shared" si="33"/>
        <v>68931.356796885535</v>
      </c>
      <c r="BA38" s="16">
        <f t="shared" si="33"/>
        <v>66863.416092978965</v>
      </c>
      <c r="BB38" s="16">
        <f t="shared" si="33"/>
        <v>64857.513610189591</v>
      </c>
      <c r="BC38" s="16">
        <f t="shared" si="33"/>
        <v>62911.788201883901</v>
      </c>
      <c r="BD38" s="16">
        <f t="shared" si="33"/>
        <v>61024.434555827385</v>
      </c>
      <c r="BE38" s="16">
        <f t="shared" si="33"/>
        <v>59193.701519152564</v>
      </c>
      <c r="BF38" s="16">
        <f t="shared" si="33"/>
        <v>57417.890473577987</v>
      </c>
      <c r="BG38" s="16">
        <f t="shared" si="33"/>
        <v>55695.353759370642</v>
      </c>
      <c r="BH38" s="16">
        <f t="shared" si="33"/>
        <v>54024.493146589521</v>
      </c>
      <c r="BI38" s="16">
        <f t="shared" si="33"/>
        <v>52403.758352191835</v>
      </c>
      <c r="BJ38" s="16">
        <f t="shared" si="33"/>
        <v>50831.645601626078</v>
      </c>
      <c r="BK38" s="16">
        <f t="shared" si="33"/>
        <v>49306.696233577291</v>
      </c>
      <c r="BL38" s="16">
        <f t="shared" si="33"/>
        <v>47827.495346569973</v>
      </c>
      <c r="BM38" s="16">
        <f t="shared" si="33"/>
        <v>46392.670486172872</v>
      </c>
      <c r="BN38" s="16">
        <f t="shared" si="33"/>
        <v>45000.890371587688</v>
      </c>
      <c r="BO38" s="16">
        <f t="shared" si="33"/>
        <v>43650.863660440053</v>
      </c>
      <c r="BP38" s="16">
        <f t="shared" si="33"/>
        <v>42341.337750626852</v>
      </c>
      <c r="BQ38" s="16">
        <f t="shared" si="33"/>
        <v>41071.097618108048</v>
      </c>
      <c r="BR38" s="16">
        <f t="shared" si="33"/>
        <v>39838.964689564804</v>
      </c>
      <c r="BS38" s="16">
        <f t="shared" si="33"/>
        <v>38643.795748877856</v>
      </c>
      <c r="BT38" s="16">
        <f t="shared" si="33"/>
        <v>37484.481876411519</v>
      </c>
      <c r="BU38" s="16">
        <f t="shared" si="33"/>
        <v>36359.94742011917</v>
      </c>
      <c r="BV38" s="16">
        <f t="shared" si="33"/>
        <v>35269.148997515593</v>
      </c>
      <c r="BW38" s="16">
        <f t="shared" si="33"/>
        <v>34211.074527590121</v>
      </c>
      <c r="BX38" s="16">
        <f t="shared" si="33"/>
        <v>33184.742291762414</v>
      </c>
      <c r="BY38" s="16">
        <f t="shared" si="33"/>
        <v>32189.20002300954</v>
      </c>
      <c r="BZ38" s="16">
        <f t="shared" si="33"/>
        <v>31223.524022319252</v>
      </c>
      <c r="CA38" s="16">
        <f t="shared" si="33"/>
        <v>30286.818301649673</v>
      </c>
      <c r="CB38" s="16">
        <f t="shared" ref="CB38:DG38" si="34">CA38*(1+$AR$11)</f>
        <v>29378.213752600182</v>
      </c>
      <c r="CC38" s="16">
        <f t="shared" si="34"/>
        <v>28496.867340022178</v>
      </c>
      <c r="CD38" s="16">
        <f t="shared" si="34"/>
        <v>27641.961319821512</v>
      </c>
      <c r="CE38" s="16">
        <f t="shared" si="34"/>
        <v>26812.702480226864</v>
      </c>
      <c r="CF38" s="16">
        <f t="shared" si="34"/>
        <v>26008.321405820057</v>
      </c>
      <c r="CG38" s="16">
        <f t="shared" si="34"/>
        <v>25228.071763645454</v>
      </c>
      <c r="CH38" s="16">
        <f t="shared" si="34"/>
        <v>24471.229610736089</v>
      </c>
      <c r="CI38" s="16">
        <f t="shared" si="34"/>
        <v>23737.092722414007</v>
      </c>
      <c r="CJ38" s="16">
        <f t="shared" si="34"/>
        <v>23024.979940741585</v>
      </c>
      <c r="CK38" s="16">
        <f t="shared" si="34"/>
        <v>22334.230542519337</v>
      </c>
      <c r="CL38" s="16">
        <f t="shared" si="34"/>
        <v>21664.203626243758</v>
      </c>
      <c r="CM38" s="16">
        <f t="shared" si="34"/>
        <v>21014.277517456445</v>
      </c>
      <c r="CN38" s="16">
        <f t="shared" si="34"/>
        <v>20383.84919193275</v>
      </c>
      <c r="CO38" s="16">
        <f t="shared" si="34"/>
        <v>19772.333716174766</v>
      </c>
      <c r="CP38" s="16">
        <f t="shared" si="34"/>
        <v>19179.163704689523</v>
      </c>
      <c r="CQ38" s="16">
        <f t="shared" si="34"/>
        <v>18603.788793548836</v>
      </c>
      <c r="CR38" s="16">
        <f t="shared" si="34"/>
        <v>18045.675129742369</v>
      </c>
      <c r="CS38" s="16">
        <f t="shared" si="34"/>
        <v>17504.304875850099</v>
      </c>
      <c r="CT38" s="16">
        <f t="shared" si="34"/>
        <v>16979.175729574596</v>
      </c>
      <c r="CU38" s="16">
        <f t="shared" si="34"/>
        <v>16469.800457687357</v>
      </c>
      <c r="CV38" s="16">
        <f t="shared" si="34"/>
        <v>15975.706443956737</v>
      </c>
      <c r="CW38" s="16">
        <f t="shared" si="34"/>
        <v>15496.435250638035</v>
      </c>
      <c r="CX38" s="16">
        <f t="shared" si="34"/>
        <v>15031.542193118894</v>
      </c>
      <c r="CY38" s="16">
        <f t="shared" si="34"/>
        <v>14580.595927325327</v>
      </c>
      <c r="CZ38" s="16">
        <f t="shared" si="34"/>
        <v>14143.178049505566</v>
      </c>
      <c r="DA38" s="16">
        <f t="shared" si="34"/>
        <v>13718.882708020399</v>
      </c>
      <c r="DB38" s="16">
        <f t="shared" si="34"/>
        <v>13307.316226779787</v>
      </c>
      <c r="DC38" s="16">
        <f t="shared" si="34"/>
        <v>12908.096739976392</v>
      </c>
      <c r="DD38" s="16">
        <f t="shared" si="34"/>
        <v>12520.8538377771</v>
      </c>
      <c r="DE38" s="16">
        <f t="shared" si="34"/>
        <v>12145.228222643787</v>
      </c>
      <c r="DF38" s="16">
        <f t="shared" si="34"/>
        <v>11780.871375964474</v>
      </c>
      <c r="DG38" s="16">
        <f t="shared" si="34"/>
        <v>11427.44523468554</v>
      </c>
      <c r="DH38" s="16">
        <f t="shared" ref="DH38:EH38" si="35">DG38*(1+$AR$11)</f>
        <v>11084.621877644973</v>
      </c>
      <c r="DI38" s="16">
        <f t="shared" si="35"/>
        <v>10752.083221315625</v>
      </c>
      <c r="DJ38" s="16">
        <f t="shared" si="35"/>
        <v>10429.520724676155</v>
      </c>
      <c r="DK38" s="16">
        <f t="shared" si="35"/>
        <v>10116.63510293587</v>
      </c>
      <c r="DL38" s="16">
        <f t="shared" si="35"/>
        <v>9813.1360498477934</v>
      </c>
      <c r="DM38" s="16">
        <f t="shared" si="35"/>
        <v>9518.7419683523585</v>
      </c>
      <c r="DN38" s="16">
        <f t="shared" si="35"/>
        <v>9233.1797093017867</v>
      </c>
      <c r="DO38" s="16">
        <f t="shared" si="35"/>
        <v>8956.1843180227334</v>
      </c>
      <c r="DP38" s="16">
        <f t="shared" si="35"/>
        <v>8687.4987884820512</v>
      </c>
      <c r="DQ38" s="16">
        <f t="shared" si="35"/>
        <v>8426.8738248275895</v>
      </c>
      <c r="DR38" s="16">
        <f t="shared" si="35"/>
        <v>8174.0676100827613</v>
      </c>
      <c r="DS38" s="16">
        <f t="shared" si="35"/>
        <v>7928.8455817802787</v>
      </c>
      <c r="DT38" s="16">
        <f t="shared" si="35"/>
        <v>7690.9802143268698</v>
      </c>
      <c r="DU38" s="16">
        <f t="shared" si="35"/>
        <v>7460.2508078970632</v>
      </c>
      <c r="DV38" s="16">
        <f t="shared" si="35"/>
        <v>7236.4432836601509</v>
      </c>
      <c r="DW38" s="16">
        <f t="shared" si="35"/>
        <v>7019.3499851503466</v>
      </c>
      <c r="DX38" s="16">
        <f t="shared" si="35"/>
        <v>6808.7694855958362</v>
      </c>
      <c r="DY38" s="16">
        <f t="shared" si="35"/>
        <v>6604.5064010279611</v>
      </c>
      <c r="DZ38" s="16">
        <f t="shared" si="35"/>
        <v>6406.3712089971223</v>
      </c>
      <c r="EA38" s="16">
        <f t="shared" si="35"/>
        <v>6214.1800727272084</v>
      </c>
      <c r="EB38" s="16">
        <f t="shared" si="35"/>
        <v>6027.7546705453924</v>
      </c>
      <c r="EC38" s="16">
        <f t="shared" si="35"/>
        <v>5846.9220304290302</v>
      </c>
      <c r="ED38" s="16">
        <f t="shared" si="35"/>
        <v>5671.5143695161587</v>
      </c>
      <c r="EE38" s="16">
        <f t="shared" si="35"/>
        <v>5501.3689384306736</v>
      </c>
      <c r="EF38" s="16">
        <f t="shared" si="35"/>
        <v>5336.3278702777534</v>
      </c>
      <c r="EG38" s="16">
        <f t="shared" si="35"/>
        <v>5176.2380341694206</v>
      </c>
      <c r="EH38" s="16">
        <f t="shared" si="35"/>
        <v>5020.9508931443379</v>
      </c>
    </row>
    <row r="39" spans="1:138" x14ac:dyDescent="0.35">
      <c r="A39" t="s">
        <v>3</v>
      </c>
      <c r="B39" s="6" t="s">
        <v>83</v>
      </c>
      <c r="C39" s="29">
        <f>C38/C40</f>
        <v>1.6933786078098472</v>
      </c>
      <c r="D39" s="29">
        <f t="shared" ref="D39:V39" si="36">D38/D40</f>
        <v>1.7426621160409557</v>
      </c>
      <c r="E39" s="29">
        <f t="shared" si="36"/>
        <v>1.7634740817027119</v>
      </c>
      <c r="F39" s="29">
        <f t="shared" si="36"/>
        <v>2.3846153846153846</v>
      </c>
      <c r="G39" s="29">
        <f t="shared" si="36"/>
        <v>1.4980869565217392</v>
      </c>
      <c r="H39" s="29">
        <f t="shared" si="36"/>
        <v>1.6055652173913044</v>
      </c>
      <c r="I39" s="29">
        <f t="shared" si="36"/>
        <v>2.1193458594293668</v>
      </c>
      <c r="J39" s="29">
        <f t="shared" si="36"/>
        <v>2.559735283873215</v>
      </c>
      <c r="K39" s="29">
        <f t="shared" si="36"/>
        <v>1.7092050209205021</v>
      </c>
      <c r="L39" s="29">
        <f t="shared" si="36"/>
        <v>1.7985411601250434</v>
      </c>
      <c r="M39" s="29">
        <f t="shared" si="36"/>
        <v>2.7139398132134209</v>
      </c>
      <c r="N39" s="29">
        <f t="shared" si="36"/>
        <v>3.882006920415225</v>
      </c>
      <c r="O39" s="29">
        <f t="shared" si="36"/>
        <v>3.2952810548230396</v>
      </c>
      <c r="P39" s="29">
        <f t="shared" si="36"/>
        <v>3.6127911018421965</v>
      </c>
      <c r="Q39" s="29">
        <f t="shared" si="36"/>
        <v>3.2158097236796084</v>
      </c>
      <c r="R39" s="29">
        <f t="shared" si="36"/>
        <v>3.6745266166488033</v>
      </c>
      <c r="S39" s="29">
        <f t="shared" si="36"/>
        <v>2.7224653537563821</v>
      </c>
      <c r="T39" s="29">
        <f t="shared" si="36"/>
        <v>2.4647991153704387</v>
      </c>
      <c r="U39" s="29">
        <f t="shared" si="36"/>
        <v>1.6356531447711202</v>
      </c>
      <c r="V39" s="29">
        <f t="shared" si="36"/>
        <v>1.7621212121212122</v>
      </c>
      <c r="W39" s="30">
        <f>W38/W40</f>
        <v>2.1625000000000001</v>
      </c>
      <c r="X39" s="29">
        <f>X38/X40</f>
        <v>2.789921807617898</v>
      </c>
      <c r="Y39" s="29">
        <f>Y38/Y40</f>
        <v>2.2227472783987552</v>
      </c>
      <c r="Z39" s="29">
        <f>Z38/Z40</f>
        <v>2.9284850571596279</v>
      </c>
      <c r="AI39" s="29">
        <f>AI38/AI40</f>
        <v>8.2363636363636363</v>
      </c>
      <c r="AJ39" s="29">
        <f t="shared" ref="AJ39:AU39" si="37">AJ38/AJ40</f>
        <v>8.172727272727272</v>
      </c>
      <c r="AK39" s="29">
        <f t="shared" si="37"/>
        <v>10.877272727272727</v>
      </c>
      <c r="AL39" s="29">
        <f t="shared" si="37"/>
        <v>14.742424242424242</v>
      </c>
      <c r="AM39" s="30">
        <f t="shared" si="37"/>
        <v>8.8655303030303028</v>
      </c>
      <c r="AN39" s="29">
        <f>AN38/AN40</f>
        <v>11.707175378787888</v>
      </c>
      <c r="AO39" s="29">
        <f t="shared" si="37"/>
        <v>12.052046617424246</v>
      </c>
      <c r="AP39" s="29">
        <f t="shared" si="37"/>
        <v>12.592530545265157</v>
      </c>
      <c r="AQ39" s="29">
        <f t="shared" si="37"/>
        <v>13.537112022907197</v>
      </c>
      <c r="AR39" s="29">
        <f t="shared" si="37"/>
        <v>15.154797822090432</v>
      </c>
      <c r="AS39" s="29">
        <f t="shared" si="37"/>
        <v>17.914718101518623</v>
      </c>
      <c r="AT39" s="29">
        <f t="shared" si="37"/>
        <v>22.577994771143175</v>
      </c>
      <c r="AU39" s="29">
        <f t="shared" si="37"/>
        <v>30.405645568520185</v>
      </c>
    </row>
    <row r="40" spans="1:138" x14ac:dyDescent="0.35">
      <c r="B40" s="6" t="s">
        <v>32</v>
      </c>
      <c r="C40" s="15">
        <v>2945</v>
      </c>
      <c r="D40" s="15">
        <v>2930</v>
      </c>
      <c r="E40" s="15">
        <v>2913</v>
      </c>
      <c r="F40" s="15">
        <v>2886</v>
      </c>
      <c r="G40" s="15">
        <v>2875</v>
      </c>
      <c r="H40" s="15">
        <v>2875</v>
      </c>
      <c r="I40" s="15">
        <v>2874</v>
      </c>
      <c r="J40" s="15">
        <v>2871</v>
      </c>
      <c r="K40" s="15">
        <v>2868</v>
      </c>
      <c r="L40" s="15">
        <v>2879</v>
      </c>
      <c r="M40" s="15">
        <v>2891</v>
      </c>
      <c r="N40" s="15">
        <v>2890</v>
      </c>
      <c r="O40" s="15">
        <v>2882</v>
      </c>
      <c r="P40" s="15">
        <v>2877</v>
      </c>
      <c r="Q40" s="15">
        <v>2859</v>
      </c>
      <c r="R40" s="15">
        <v>2799</v>
      </c>
      <c r="S40" s="15">
        <v>2742</v>
      </c>
      <c r="T40" s="15">
        <v>2713</v>
      </c>
      <c r="U40" s="15">
        <v>2687</v>
      </c>
      <c r="V40" s="15">
        <v>2640</v>
      </c>
      <c r="W40" s="19">
        <f>+V40</f>
        <v>2640</v>
      </c>
      <c r="X40" s="16">
        <f>W40</f>
        <v>2640</v>
      </c>
      <c r="Y40" s="16">
        <f>X40</f>
        <v>2640</v>
      </c>
      <c r="Z40" s="16">
        <f>Y40</f>
        <v>2640</v>
      </c>
      <c r="AI40" s="16">
        <f>Z40</f>
        <v>2640</v>
      </c>
      <c r="AJ40" s="16">
        <f>AI40</f>
        <v>2640</v>
      </c>
      <c r="AK40" s="16">
        <f t="shared" ref="AK40:AU40" si="38">AJ40</f>
        <v>2640</v>
      </c>
      <c r="AL40" s="16">
        <f t="shared" si="38"/>
        <v>2640</v>
      </c>
      <c r="AM40" s="20">
        <f t="shared" si="38"/>
        <v>2640</v>
      </c>
      <c r="AN40" s="16">
        <f t="shared" si="38"/>
        <v>2640</v>
      </c>
      <c r="AO40" s="16">
        <f t="shared" si="38"/>
        <v>2640</v>
      </c>
      <c r="AP40" s="16">
        <f t="shared" si="38"/>
        <v>2640</v>
      </c>
      <c r="AQ40" s="16">
        <f t="shared" si="38"/>
        <v>2640</v>
      </c>
      <c r="AR40" s="16">
        <f t="shared" si="38"/>
        <v>2640</v>
      </c>
      <c r="AS40" s="16">
        <f t="shared" si="38"/>
        <v>2640</v>
      </c>
      <c r="AT40" s="16">
        <f t="shared" si="38"/>
        <v>2640</v>
      </c>
      <c r="AU40" s="16">
        <f t="shared" si="38"/>
        <v>2640</v>
      </c>
    </row>
    <row r="41" spans="1:138" x14ac:dyDescent="0.35">
      <c r="A41" t="s">
        <v>3</v>
      </c>
      <c r="B41" s="6"/>
      <c r="W41" s="6"/>
      <c r="Y41" s="13"/>
      <c r="AM41" s="6"/>
      <c r="AY41" s="29"/>
    </row>
    <row r="42" spans="1:138" x14ac:dyDescent="0.35">
      <c r="B42" s="8" t="s">
        <v>84</v>
      </c>
      <c r="G42" s="23">
        <f>G26/C26-1</f>
        <v>0.25998662878154777</v>
      </c>
      <c r="H42" s="23">
        <f t="shared" ref="H42:Z42" si="39">H26/D26-1</f>
        <v>0.2762451817700855</v>
      </c>
      <c r="I42" s="23">
        <f t="shared" si="39"/>
        <v>0.2859328331026445</v>
      </c>
      <c r="J42" s="23">
        <f t="shared" si="39"/>
        <v>0.2464230814709707</v>
      </c>
      <c r="K42" s="23">
        <f t="shared" si="39"/>
        <v>0.17642767128739134</v>
      </c>
      <c r="L42" s="23">
        <f t="shared" si="39"/>
        <v>0.10665640175293145</v>
      </c>
      <c r="M42" s="23">
        <f t="shared" si="39"/>
        <v>0.21629277135735325</v>
      </c>
      <c r="N42" s="23">
        <f t="shared" si="39"/>
        <v>0.33156247035385644</v>
      </c>
      <c r="O42" s="23">
        <f t="shared" si="39"/>
        <v>0.47550318543158365</v>
      </c>
      <c r="P42" s="23">
        <f t="shared" si="39"/>
        <v>0.5560014983678494</v>
      </c>
      <c r="Q42" s="23">
        <f t="shared" si="39"/>
        <v>0.35118770377270603</v>
      </c>
      <c r="R42" s="23">
        <f t="shared" si="39"/>
        <v>0.19945141065830718</v>
      </c>
      <c r="S42" s="23">
        <f t="shared" si="39"/>
        <v>6.6371174200450911E-2</v>
      </c>
      <c r="T42" s="23">
        <f t="shared" si="39"/>
        <v>-8.7698180692643568E-3</v>
      </c>
      <c r="U42" s="23">
        <f t="shared" si="39"/>
        <v>-4.4674250258531556E-2</v>
      </c>
      <c r="V42" s="23">
        <f t="shared" si="39"/>
        <v>-4.4726916337501144E-2</v>
      </c>
      <c r="W42" s="24">
        <f>W26/S26-1</f>
        <v>2.6408198366060009E-2</v>
      </c>
      <c r="X42" s="23">
        <f>X26/T26-1</f>
        <v>4.6128825202969903E-2</v>
      </c>
      <c r="Y42" s="23">
        <f t="shared" si="39"/>
        <v>5.5104820668254506E-2</v>
      </c>
      <c r="Z42" s="23">
        <f t="shared" si="39"/>
        <v>5.2570340432146923E-2</v>
      </c>
      <c r="AE42" s="23">
        <f>AE26/AD26-1</f>
        <v>0.58358739837398366</v>
      </c>
      <c r="AF42" s="23">
        <f t="shared" ref="AF42:AU42" si="40">AF26/AE26-1</f>
        <v>0.43815177282207607</v>
      </c>
      <c r="AG42" s="23">
        <f t="shared" si="40"/>
        <v>0.54161088799643009</v>
      </c>
      <c r="AH42" s="23">
        <f t="shared" si="40"/>
        <v>0.47090961719371882</v>
      </c>
      <c r="AI42" s="23">
        <f t="shared" si="40"/>
        <v>0.37352716896661997</v>
      </c>
      <c r="AJ42" s="23">
        <f t="shared" si="40"/>
        <v>0.26610910132884413</v>
      </c>
      <c r="AK42" s="23">
        <f t="shared" si="40"/>
        <v>0.21597804715900248</v>
      </c>
      <c r="AL42" s="23">
        <f t="shared" si="40"/>
        <v>0.37180978526394148</v>
      </c>
      <c r="AM42" s="24">
        <f t="shared" si="40"/>
        <v>-1.1193175554782941E-2</v>
      </c>
      <c r="AN42" s="23">
        <f>AN26/AM26-1</f>
        <v>5.8536433722954806E-2</v>
      </c>
      <c r="AO42" s="23">
        <f t="shared" si="40"/>
        <v>-2.9027948948787907E-2</v>
      </c>
      <c r="AP42" s="23">
        <f t="shared" si="40"/>
        <v>-1.5791152868556479E-2</v>
      </c>
      <c r="AQ42" s="23">
        <f>AQ26/AP26-1</f>
        <v>8.0458774954963452E-3</v>
      </c>
      <c r="AR42" s="23">
        <f t="shared" si="40"/>
        <v>4.455500193883144E-2</v>
      </c>
      <c r="AS42" s="23">
        <f t="shared" si="40"/>
        <v>9.9170967527897114E-2</v>
      </c>
      <c r="AT42" s="23">
        <f t="shared" si="40"/>
        <v>0.17361917695878004</v>
      </c>
      <c r="AU42" s="23">
        <f t="shared" si="40"/>
        <v>0.26432925042555122</v>
      </c>
      <c r="AY42" s="34"/>
    </row>
    <row r="43" spans="1:138" x14ac:dyDescent="0.35">
      <c r="B43" s="8" t="s">
        <v>85</v>
      </c>
      <c r="O43" s="23">
        <f t="shared" ref="O43:W43" si="41">O22/K22-1</f>
        <v>0.41985917173887088</v>
      </c>
      <c r="P43" s="23">
        <f t="shared" si="41"/>
        <v>0.47543879015343848</v>
      </c>
      <c r="Q43" s="23">
        <f t="shared" si="41"/>
        <v>0.31097316780136164</v>
      </c>
      <c r="R43" s="23">
        <f t="shared" si="41"/>
        <v>0.14539923954372624</v>
      </c>
      <c r="S43" s="23">
        <f t="shared" si="41"/>
        <v>1.0674960073968176E-2</v>
      </c>
      <c r="T43" s="23">
        <f t="shared" si="41"/>
        <v>-4.3244052072422545E-2</v>
      </c>
      <c r="U43" s="23">
        <f t="shared" si="41"/>
        <v>-2.5049641056972605E-2</v>
      </c>
      <c r="V43" s="23">
        <f t="shared" si="41"/>
        <v>-3.7843579869871746E-3</v>
      </c>
      <c r="W43" s="24">
        <f t="shared" si="41"/>
        <v>5.7052561543579516E-2</v>
      </c>
      <c r="X43" s="23"/>
      <c r="Y43" s="23"/>
      <c r="Z43" s="23"/>
      <c r="AM43" s="6"/>
    </row>
    <row r="44" spans="1:138" x14ac:dyDescent="0.35">
      <c r="B44" s="8" t="s">
        <v>181</v>
      </c>
      <c r="G44" s="43">
        <f>G25/C25-1</f>
        <v>0.26426451886392543</v>
      </c>
      <c r="H44" s="43">
        <f t="shared" ref="H44:V44" si="42">H25/D25-1</f>
        <v>0.27504218438410799</v>
      </c>
      <c r="I44" s="43">
        <f t="shared" si="42"/>
        <v>0.28392052588817496</v>
      </c>
      <c r="J44" s="43">
        <f t="shared" si="42"/>
        <v>0.24615384615384617</v>
      </c>
      <c r="K44" s="43">
        <f t="shared" si="42"/>
        <v>0.16952789699570814</v>
      </c>
      <c r="L44" s="43">
        <f t="shared" si="42"/>
        <v>0.10208132820019244</v>
      </c>
      <c r="M44" s="43">
        <f t="shared" si="42"/>
        <v>0.22079042742909749</v>
      </c>
      <c r="N44" s="43">
        <f t="shared" si="42"/>
        <v>0.31110146604938271</v>
      </c>
      <c r="O44" s="43">
        <f t="shared" si="42"/>
        <v>0.45865825688073403</v>
      </c>
      <c r="P44" s="43">
        <f t="shared" si="42"/>
        <v>0.55995851754816872</v>
      </c>
      <c r="Q44" s="43">
        <f t="shared" si="42"/>
        <v>0.33245370152207721</v>
      </c>
      <c r="R44" s="43">
        <f t="shared" si="42"/>
        <v>0.200537021370508</v>
      </c>
      <c r="S44" s="43">
        <f t="shared" si="42"/>
        <v>6.1283855497464623E-2</v>
      </c>
      <c r="T44" s="43">
        <f t="shared" si="42"/>
        <v>-1.4975507347795625E-2</v>
      </c>
      <c r="U44" s="43">
        <f t="shared" si="42"/>
        <v>-3.674494270759654E-2</v>
      </c>
      <c r="V44" s="43">
        <f t="shared" si="42"/>
        <v>-4.2433898097368195E-2</v>
      </c>
      <c r="W44" s="44">
        <f t="shared" ref="W44" si="43">W25/S25-1</f>
        <v>4.0854878139121364E-2</v>
      </c>
      <c r="X44" s="43">
        <f t="shared" ref="X44" si="44">X25/T25-1</f>
        <v>5.0000000000000044E-2</v>
      </c>
      <c r="Y44" s="43">
        <f t="shared" ref="Y44" si="45">Y25/U25-1</f>
        <v>5.0000000000000044E-2</v>
      </c>
      <c r="Z44" s="43">
        <f t="shared" ref="Z44" si="46">Z25/V25-1</f>
        <v>5.0000000000000044E-2</v>
      </c>
      <c r="AH44">
        <f>AH25/AG25-1</f>
        <v>0.47090961719371882</v>
      </c>
      <c r="AI44" s="12">
        <f>AI25/AH25-1</f>
        <v>0.35320886527439543</v>
      </c>
      <c r="AJ44" s="12">
        <f>AJ25/AI25-1</f>
        <v>0.26617828837344581</v>
      </c>
      <c r="AK44" s="12">
        <f t="shared" ref="AK44:AU44" si="47">AK25/AJ25-1</f>
        <v>0.20836982269758098</v>
      </c>
      <c r="AL44" s="12">
        <f t="shared" si="47"/>
        <v>0.36551461939669005</v>
      </c>
      <c r="AM44" s="35">
        <f t="shared" si="47"/>
        <v>-1.1249934745158119E-2</v>
      </c>
      <c r="AN44" s="12">
        <f>AN25/AM25-1</f>
        <v>4.7827368643359458E-2</v>
      </c>
      <c r="AO44" s="12">
        <f>AO25/AN25-1</f>
        <v>-5.0000000000000044E-2</v>
      </c>
      <c r="AP44" s="12">
        <f t="shared" si="47"/>
        <v>-5.0000000000000044E-2</v>
      </c>
      <c r="AQ44" s="12">
        <f t="shared" si="47"/>
        <v>-5.0000000000000044E-2</v>
      </c>
      <c r="AR44" s="12">
        <f t="shared" si="47"/>
        <v>-5.0000000000000044E-2</v>
      </c>
      <c r="AS44" s="12">
        <f t="shared" si="47"/>
        <v>-5.0000000000000044E-2</v>
      </c>
      <c r="AT44" s="12">
        <f t="shared" si="47"/>
        <v>-5.0000000000000044E-2</v>
      </c>
      <c r="AU44" s="12">
        <f t="shared" si="47"/>
        <v>-5.0000000000000044E-2</v>
      </c>
    </row>
    <row r="45" spans="1:138" x14ac:dyDescent="0.35">
      <c r="B45" s="6" t="s">
        <v>86</v>
      </c>
      <c r="W45" s="6"/>
      <c r="AA45" s="13"/>
      <c r="AM45" s="6"/>
      <c r="AO45" s="13"/>
      <c r="AP45" s="13"/>
      <c r="AQ45" s="13"/>
      <c r="AR45" s="13"/>
      <c r="AS45" s="13"/>
      <c r="AT45" s="13"/>
      <c r="AU45" s="13"/>
    </row>
    <row r="46" spans="1:138" x14ac:dyDescent="0.35">
      <c r="B46" s="6" t="s">
        <v>87</v>
      </c>
      <c r="W46" s="6"/>
      <c r="Y46" s="12"/>
      <c r="AM46" s="6"/>
    </row>
    <row r="47" spans="1:138" x14ac:dyDescent="0.35">
      <c r="A47" t="s">
        <v>3</v>
      </c>
      <c r="B47" s="6" t="s">
        <v>88</v>
      </c>
      <c r="R47" s="13">
        <f t="shared" ref="R47:W47" si="48">R24/N24-1</f>
        <v>0.22315202231520215</v>
      </c>
      <c r="S47" s="13">
        <f>S24/O24-1</f>
        <v>0.30149812734082393</v>
      </c>
      <c r="T47" s="13">
        <f t="shared" si="48"/>
        <v>0.4819672131147541</v>
      </c>
      <c r="U47" s="13">
        <f t="shared" si="48"/>
        <v>-0.489247311827957</v>
      </c>
      <c r="V47" s="13">
        <f t="shared" si="48"/>
        <v>-0.17103762827822122</v>
      </c>
      <c r="W47" s="21">
        <f t="shared" si="48"/>
        <v>-0.51223021582733819</v>
      </c>
      <c r="AL47" s="12">
        <f>AL24/AK24-1</f>
        <v>2.1715481171548117</v>
      </c>
      <c r="AM47" s="35">
        <f>AM24/AL24-1</f>
        <v>-5.0571679859278795E-2</v>
      </c>
      <c r="AN47" s="12">
        <f>AN24/AM24-1</f>
        <v>0.64999999999999991</v>
      </c>
      <c r="AO47" s="12">
        <f>AO24/AN24-1</f>
        <v>0.64999999999999991</v>
      </c>
      <c r="AP47" s="12">
        <f>AP24/AO24-1</f>
        <v>0.64999999999999991</v>
      </c>
      <c r="AQ47" s="12">
        <f t="shared" ref="AQ47:AU47" si="49">AQ24/AP24-1</f>
        <v>0.64999999999999991</v>
      </c>
      <c r="AR47" s="12">
        <f t="shared" si="49"/>
        <v>0.64999999999999991</v>
      </c>
      <c r="AS47" s="12">
        <f t="shared" si="49"/>
        <v>0.64999999999999991</v>
      </c>
      <c r="AT47" s="12">
        <f t="shared" si="49"/>
        <v>0.64999999999999991</v>
      </c>
      <c r="AU47" s="12">
        <f t="shared" si="49"/>
        <v>0.64999999999999991</v>
      </c>
    </row>
    <row r="48" spans="1:138" x14ac:dyDescent="0.35">
      <c r="B48" s="6" t="s">
        <v>89</v>
      </c>
      <c r="Q48" s="13">
        <f>Q33/M33-1</f>
        <v>0.38761368557817244</v>
      </c>
      <c r="R48" s="13">
        <f t="shared" ref="R48:W48" si="50">R33/N33-1</f>
        <v>0.46108852979081982</v>
      </c>
      <c r="S48" s="13">
        <f t="shared" si="50"/>
        <v>0.38470296004967919</v>
      </c>
      <c r="T48" s="13">
        <f t="shared" si="50"/>
        <v>0.35019008045265676</v>
      </c>
      <c r="U48" s="13">
        <f t="shared" si="50"/>
        <v>0.27450062421972543</v>
      </c>
      <c r="V48" s="13">
        <f t="shared" si="50"/>
        <v>0.18265707694395439</v>
      </c>
      <c r="W48" s="21">
        <f t="shared" si="50"/>
        <v>0.14433066746393597</v>
      </c>
      <c r="AL48" s="12">
        <f>AL33/AL26</f>
        <v>0.41149335617193394</v>
      </c>
      <c r="AM48" s="35">
        <f t="shared" ref="AM48:AU48" si="51">AM33/AM26</f>
        <v>0.53525028085310744</v>
      </c>
      <c r="AN48" s="12">
        <f>AN33/AN26</f>
        <v>0.47765975782776132</v>
      </c>
      <c r="AO48" s="12">
        <f t="shared" si="51"/>
        <v>0.45882642326720735</v>
      </c>
      <c r="AP48" s="12">
        <f t="shared" si="51"/>
        <v>0.43839244949581346</v>
      </c>
      <c r="AQ48" s="12">
        <f t="shared" si="51"/>
        <v>0.41498438407840255</v>
      </c>
      <c r="AR48" s="12">
        <f t="shared" si="51"/>
        <v>0.38800067525868648</v>
      </c>
      <c r="AS48" s="12">
        <f t="shared" si="51"/>
        <v>0.35755877129185587</v>
      </c>
      <c r="AT48" s="12">
        <f t="shared" si="51"/>
        <v>0.32548813157900403</v>
      </c>
      <c r="AU48" s="12">
        <f t="shared" si="51"/>
        <v>0.29509066043449417</v>
      </c>
    </row>
    <row r="49" spans="1:47" x14ac:dyDescent="0.35">
      <c r="A49" t="s">
        <v>3</v>
      </c>
      <c r="B49" s="6"/>
      <c r="W49" s="6"/>
      <c r="AM49" s="6"/>
    </row>
    <row r="50" spans="1:47" x14ac:dyDescent="0.35">
      <c r="B50" s="6" t="s">
        <v>90</v>
      </c>
      <c r="C50" s="13">
        <f>C29/C26</f>
        <v>0.8389603877653351</v>
      </c>
      <c r="D50" s="13">
        <f t="shared" ref="D50:W50" si="52">D29/D26</f>
        <v>0.83266570931902351</v>
      </c>
      <c r="E50" s="13">
        <f t="shared" si="52"/>
        <v>0.82385080498288044</v>
      </c>
      <c r="F50" s="13">
        <f t="shared" si="52"/>
        <v>0.83469315360056762</v>
      </c>
      <c r="G50" s="13">
        <f t="shared" si="52"/>
        <v>0.81322544272733299</v>
      </c>
      <c r="H50" s="13">
        <f t="shared" si="52"/>
        <v>0.80415729006277392</v>
      </c>
      <c r="I50" s="13">
        <f t="shared" si="52"/>
        <v>0.82126671198731027</v>
      </c>
      <c r="J50" s="13">
        <f t="shared" si="52"/>
        <v>0.83436106631249407</v>
      </c>
      <c r="K50" s="13">
        <f t="shared" si="52"/>
        <v>0.80498393189378137</v>
      </c>
      <c r="L50" s="13">
        <f t="shared" si="52"/>
        <v>0.7950981966072671</v>
      </c>
      <c r="M50" s="13">
        <f t="shared" si="52"/>
        <v>0.80465766185374943</v>
      </c>
      <c r="N50" s="13">
        <f t="shared" si="52"/>
        <v>0.81440581362211462</v>
      </c>
      <c r="O50" s="13">
        <f t="shared" si="52"/>
        <v>0.80394329601467274</v>
      </c>
      <c r="P50" s="13">
        <f t="shared" si="52"/>
        <v>0.81432059703545756</v>
      </c>
      <c r="Q50" s="13">
        <f t="shared" si="52"/>
        <v>0.80106859703550504</v>
      </c>
      <c r="R50" s="13">
        <f t="shared" si="52"/>
        <v>0.81146981081642955</v>
      </c>
      <c r="S50" s="13">
        <f t="shared" si="52"/>
        <v>0.78482872294682526</v>
      </c>
      <c r="T50" s="13">
        <f t="shared" si="52"/>
        <v>0.81985982929706469</v>
      </c>
      <c r="U50" s="13">
        <f t="shared" si="52"/>
        <v>0.79375045103557773</v>
      </c>
      <c r="V50" s="13">
        <f t="shared" si="52"/>
        <v>0.74083631276231932</v>
      </c>
      <c r="W50" s="21">
        <f t="shared" si="52"/>
        <v>0.7867690696456624</v>
      </c>
      <c r="X50" s="13">
        <f>X29/X26</f>
        <v>0.78530391568515601</v>
      </c>
      <c r="Y50" s="13">
        <f t="shared" ref="Y50:Z50" si="53">Y29/Y26</f>
        <v>0.77666493728217878</v>
      </c>
      <c r="Z50" s="13">
        <f t="shared" si="53"/>
        <v>0.7723935588438291</v>
      </c>
      <c r="AD50" s="13"/>
      <c r="AE50" s="13"/>
      <c r="AF50" s="13"/>
      <c r="AG50" s="13"/>
      <c r="AH50" s="13"/>
      <c r="AI50" s="13">
        <f>AI29/AI26</f>
        <v>0.8324617643898421</v>
      </c>
      <c r="AJ50" s="13">
        <f t="shared" ref="AJ50:AM50" si="54">AJ29/AJ26</f>
        <v>0.81936998741106415</v>
      </c>
      <c r="AK50" s="13">
        <f t="shared" si="54"/>
        <v>0.80583021194425708</v>
      </c>
      <c r="AL50" s="13">
        <f t="shared" si="54"/>
        <v>0.80794376277251567</v>
      </c>
      <c r="AM50" s="21">
        <f t="shared" si="54"/>
        <v>0.78347297378418479</v>
      </c>
      <c r="AN50" s="13">
        <f>AN29/AN26</f>
        <v>0.79</v>
      </c>
      <c r="AO50" s="13">
        <f t="shared" ref="AO50:AU50" si="55">AO29/AO26</f>
        <v>0.79</v>
      </c>
      <c r="AP50" s="13">
        <f t="shared" si="55"/>
        <v>0.79000000000000015</v>
      </c>
      <c r="AQ50" s="13">
        <f t="shared" si="55"/>
        <v>0.79</v>
      </c>
      <c r="AR50" s="13">
        <f t="shared" si="55"/>
        <v>0.79</v>
      </c>
      <c r="AS50" s="13">
        <f t="shared" si="55"/>
        <v>0.79</v>
      </c>
      <c r="AT50" s="13">
        <f t="shared" si="55"/>
        <v>0.79</v>
      </c>
      <c r="AU50" s="13">
        <f t="shared" si="55"/>
        <v>0.79</v>
      </c>
    </row>
    <row r="51" spans="1:47" x14ac:dyDescent="0.35">
      <c r="A51" t="s">
        <v>3</v>
      </c>
      <c r="B51" s="6" t="s">
        <v>91</v>
      </c>
      <c r="C51" s="13">
        <f>C34/C26</f>
        <v>0.45537355841551064</v>
      </c>
      <c r="D51" s="13">
        <f t="shared" ref="D51:W51" si="56">D34/D26</f>
        <v>0.44312599198851182</v>
      </c>
      <c r="E51" s="13">
        <f t="shared" si="56"/>
        <v>0.42114081736723247</v>
      </c>
      <c r="F51" s="13">
        <f t="shared" si="56"/>
        <v>0.46233889085964291</v>
      </c>
      <c r="G51" s="13">
        <f t="shared" si="56"/>
        <v>0.41898255621144792</v>
      </c>
      <c r="H51" s="13">
        <f t="shared" si="56"/>
        <v>0.39239606774843067</v>
      </c>
      <c r="I51" s="13">
        <f t="shared" si="56"/>
        <v>0.40703602991162474</v>
      </c>
      <c r="J51" s="13">
        <f t="shared" si="56"/>
        <v>0.42016886443411439</v>
      </c>
      <c r="K51" s="13">
        <f t="shared" si="56"/>
        <v>0.33224333314540228</v>
      </c>
      <c r="L51" s="13">
        <f t="shared" si="56"/>
        <v>0.31909883876491679</v>
      </c>
      <c r="M51" s="13">
        <f>M34/M26</f>
        <v>0.37447601304145317</v>
      </c>
      <c r="N51" s="13">
        <f t="shared" si="56"/>
        <v>0.45507979481333716</v>
      </c>
      <c r="O51" s="13">
        <f t="shared" si="56"/>
        <v>0.43475602766420846</v>
      </c>
      <c r="P51" s="13">
        <f t="shared" si="56"/>
        <v>0.42531898063761736</v>
      </c>
      <c r="Q51" s="13">
        <f t="shared" si="56"/>
        <v>0.35928990003447087</v>
      </c>
      <c r="R51" s="13">
        <f t="shared" si="56"/>
        <v>0.37376377297971547</v>
      </c>
      <c r="S51" s="13">
        <f t="shared" si="56"/>
        <v>0.30543213415508097</v>
      </c>
      <c r="T51" s="13">
        <f t="shared" si="56"/>
        <v>0.28998681562695161</v>
      </c>
      <c r="U51" s="13">
        <f t="shared" si="56"/>
        <v>0.20437324096124701</v>
      </c>
      <c r="V51" s="13">
        <f t="shared" si="56"/>
        <v>0.19894295041193844</v>
      </c>
      <c r="W51" s="21">
        <f t="shared" si="56"/>
        <v>0.25229533950078548</v>
      </c>
      <c r="AI51" s="13">
        <f>AI34/AI26</f>
        <v>0.44616569361366809</v>
      </c>
      <c r="AJ51" s="13">
        <f t="shared" ref="AJ51:AU51" si="57">AJ34/AJ26</f>
        <v>0.41000325332050863</v>
      </c>
      <c r="AK51" s="13">
        <f t="shared" si="57"/>
        <v>0.38004559942302774</v>
      </c>
      <c r="AL51" s="13">
        <f t="shared" si="57"/>
        <v>0.39645040660058173</v>
      </c>
      <c r="AM51" s="21">
        <f t="shared" si="57"/>
        <v>0.24822269293107735</v>
      </c>
      <c r="AN51" s="13">
        <f>AN34/AN26</f>
        <v>0.31234024217223877</v>
      </c>
      <c r="AO51" s="13">
        <f t="shared" si="57"/>
        <v>0.33117357673279268</v>
      </c>
      <c r="AP51" s="13">
        <f t="shared" si="57"/>
        <v>0.35160755050418663</v>
      </c>
      <c r="AQ51" s="13">
        <f t="shared" si="57"/>
        <v>0.37501561592159754</v>
      </c>
      <c r="AR51" s="13">
        <f t="shared" si="57"/>
        <v>0.40199932474131356</v>
      </c>
      <c r="AS51" s="13">
        <f t="shared" si="57"/>
        <v>0.43244122870814422</v>
      </c>
      <c r="AT51" s="13">
        <f t="shared" si="57"/>
        <v>0.46451186842099595</v>
      </c>
      <c r="AU51" s="13">
        <f t="shared" si="57"/>
        <v>0.49490933956550587</v>
      </c>
    </row>
    <row r="52" spans="1:47" x14ac:dyDescent="0.35">
      <c r="B52" s="6" t="s">
        <v>92</v>
      </c>
      <c r="C52" s="13">
        <f>C37/C36</f>
        <v>0.11105169340463458</v>
      </c>
      <c r="D52" s="13">
        <f t="shared" ref="D52:V52" si="58">D37/D36</f>
        <v>0.12985685071574643</v>
      </c>
      <c r="E52" s="13">
        <f t="shared" si="58"/>
        <v>0.13108930987821379</v>
      </c>
      <c r="F52" s="13">
        <f t="shared" si="58"/>
        <v>0.13662024840045164</v>
      </c>
      <c r="G52" s="13">
        <f t="shared" si="58"/>
        <v>0.33972098727579336</v>
      </c>
      <c r="H52" s="13">
        <f t="shared" si="58"/>
        <v>0.32435597189695553</v>
      </c>
      <c r="I52" s="13">
        <f t="shared" si="58"/>
        <v>0.16891799699822621</v>
      </c>
      <c r="J52" s="13">
        <f t="shared" si="58"/>
        <v>0.19849492856363835</v>
      </c>
      <c r="K52" s="13">
        <f t="shared" si="58"/>
        <v>0.16362395495649207</v>
      </c>
      <c r="L52" s="13">
        <f t="shared" si="58"/>
        <v>0.15543956940140272</v>
      </c>
      <c r="M52" s="13">
        <f t="shared" si="58"/>
        <v>3.5288331488995447E-2</v>
      </c>
      <c r="N52" s="13">
        <f t="shared" si="58"/>
        <v>0.14063577173496744</v>
      </c>
      <c r="O52" s="13">
        <f t="shared" si="58"/>
        <v>0.17438928975049986</v>
      </c>
      <c r="P52" s="13">
        <f t="shared" si="58"/>
        <v>0.16934388236234316</v>
      </c>
      <c r="Q52" s="13">
        <f t="shared" si="58"/>
        <v>0.12976810222432561</v>
      </c>
      <c r="R52" s="13">
        <f t="shared" si="58"/>
        <v>0.19028499448905684</v>
      </c>
      <c r="S52" s="13">
        <f t="shared" si="58"/>
        <v>0.1619892231701841</v>
      </c>
      <c r="T52" s="13">
        <f t="shared" si="58"/>
        <v>0.18311751771316884</v>
      </c>
      <c r="U52" s="13">
        <f t="shared" si="58"/>
        <v>0.21180057388809181</v>
      </c>
      <c r="V52" s="13">
        <f t="shared" si="58"/>
        <v>0.24345422019840623</v>
      </c>
      <c r="W52" s="21">
        <f>W37/W36</f>
        <v>0.21869440262761736</v>
      </c>
      <c r="AI52" s="13">
        <f>AI37/AI36</f>
        <v>0.12999639899171769</v>
      </c>
      <c r="AJ52" s="13">
        <f t="shared" ref="AJ52:AM52" si="59">AJ37/AJ36</f>
        <v>0.25768939654579232</v>
      </c>
      <c r="AK52" s="13">
        <f t="shared" si="59"/>
        <v>0.1232023449665659</v>
      </c>
      <c r="AL52" s="13">
        <f t="shared" si="59"/>
        <v>0.1689620566694425</v>
      </c>
      <c r="AM52" s="21">
        <f t="shared" si="59"/>
        <v>0.19362618432385875</v>
      </c>
      <c r="AN52" s="13">
        <f>AN37/AN36</f>
        <v>0.2</v>
      </c>
      <c r="AO52" s="13">
        <f t="shared" ref="AO52:AU52" si="60">AO37/AO36</f>
        <v>0.2</v>
      </c>
      <c r="AP52" s="13">
        <f t="shared" si="60"/>
        <v>0.2</v>
      </c>
      <c r="AQ52" s="13">
        <f t="shared" si="60"/>
        <v>0.2</v>
      </c>
      <c r="AR52" s="13">
        <f t="shared" si="60"/>
        <v>0.2</v>
      </c>
      <c r="AS52" s="13">
        <f t="shared" si="60"/>
        <v>0.2</v>
      </c>
      <c r="AT52" s="13">
        <f t="shared" si="60"/>
        <v>0.2</v>
      </c>
      <c r="AU52" s="13">
        <f t="shared" si="60"/>
        <v>0.20000000000000004</v>
      </c>
    </row>
    <row r="53" spans="1:47" x14ac:dyDescent="0.35">
      <c r="A53" t="s">
        <v>3</v>
      </c>
      <c r="B53" s="6"/>
      <c r="S53" s="13"/>
      <c r="W53" s="21"/>
      <c r="AM53" s="6"/>
    </row>
    <row r="54" spans="1:47" x14ac:dyDescent="0.35">
      <c r="B54" s="6" t="s">
        <v>93</v>
      </c>
      <c r="N54" s="16"/>
      <c r="O54" s="16"/>
      <c r="P54" s="16"/>
      <c r="Q54" s="16">
        <f t="shared" ref="Q54:Z54" si="61">Q55-Q69</f>
        <v>64833</v>
      </c>
      <c r="R54" s="16">
        <f t="shared" si="61"/>
        <v>54773</v>
      </c>
      <c r="S54" s="16">
        <f t="shared" si="61"/>
        <v>50665</v>
      </c>
      <c r="T54" s="16">
        <f t="shared" si="61"/>
        <v>47025</v>
      </c>
      <c r="U54" s="16">
        <f t="shared" si="61"/>
        <v>38382</v>
      </c>
      <c r="V54" s="16">
        <f t="shared" si="61"/>
        <v>42777</v>
      </c>
      <c r="W54" s="20">
        <f t="shared" si="61"/>
        <v>48486</v>
      </c>
      <c r="X54" s="16">
        <f t="shared" si="61"/>
        <v>55851.39357211125</v>
      </c>
      <c r="Y54" s="16">
        <f t="shared" si="61"/>
        <v>61719.446387083968</v>
      </c>
      <c r="Z54" s="16">
        <f t="shared" si="61"/>
        <v>69450.646937985381</v>
      </c>
      <c r="AM54" s="6"/>
    </row>
    <row r="55" spans="1:47" x14ac:dyDescent="0.35">
      <c r="B55" s="6" t="s">
        <v>34</v>
      </c>
      <c r="N55" s="15">
        <f>17576+44378+6234</f>
        <v>68188</v>
      </c>
      <c r="O55" s="15">
        <f>19513+44706+6342</f>
        <v>70561</v>
      </c>
      <c r="P55" s="15">
        <f>16186+47894+6393</f>
        <v>70473</v>
      </c>
      <c r="Q55" s="15">
        <f>14496+43579+6758</f>
        <v>64833</v>
      </c>
      <c r="R55" s="15">
        <f>16601+31397+6775</f>
        <v>54773</v>
      </c>
      <c r="S55" s="15">
        <f>14886+29004+6775</f>
        <v>50665</v>
      </c>
      <c r="T55" s="15">
        <f>12681+27808+6536</f>
        <v>47025</v>
      </c>
      <c r="U55" s="15">
        <f>14308+27468+6528</f>
        <v>48304</v>
      </c>
      <c r="V55" s="16">
        <f>U55+U38</f>
        <v>52699</v>
      </c>
      <c r="W55" s="20">
        <f>V55+W38</f>
        <v>58408</v>
      </c>
      <c r="X55" s="16">
        <f>W55+X38</f>
        <v>65773.39357211125</v>
      </c>
      <c r="Y55" s="16">
        <f>X55+Y38</f>
        <v>71641.446387083968</v>
      </c>
      <c r="Z55" s="16">
        <f>Y55+Z38</f>
        <v>79372.646937985381</v>
      </c>
    </row>
    <row r="56" spans="1:47" x14ac:dyDescent="0.35">
      <c r="B56" s="6" t="s">
        <v>94</v>
      </c>
      <c r="N56" s="15">
        <v>11335</v>
      </c>
      <c r="O56" s="15">
        <v>10276</v>
      </c>
      <c r="P56" s="15">
        <v>11698</v>
      </c>
      <c r="Q56" s="15">
        <v>12088</v>
      </c>
      <c r="R56" s="15">
        <v>14039</v>
      </c>
      <c r="S56" s="15">
        <v>11390</v>
      </c>
      <c r="T56" s="15">
        <v>11525</v>
      </c>
      <c r="U56" s="15">
        <v>11227</v>
      </c>
      <c r="V56" s="15">
        <v>13466</v>
      </c>
      <c r="W56" s="20">
        <v>11044</v>
      </c>
    </row>
    <row r="57" spans="1:47" x14ac:dyDescent="0.35">
      <c r="B57" s="6" t="s">
        <v>95</v>
      </c>
      <c r="N57" s="15">
        <v>2381</v>
      </c>
      <c r="O57" s="15">
        <v>2827</v>
      </c>
      <c r="P57" s="15">
        <v>4919</v>
      </c>
      <c r="Q57" s="15">
        <v>5258</v>
      </c>
      <c r="R57" s="15">
        <v>4629</v>
      </c>
      <c r="S57" s="15">
        <v>3985</v>
      </c>
      <c r="T57" s="15">
        <v>3973</v>
      </c>
      <c r="U57" s="15">
        <v>5312</v>
      </c>
      <c r="V57" s="15">
        <v>5345</v>
      </c>
      <c r="W57" s="20">
        <v>4000</v>
      </c>
    </row>
    <row r="58" spans="1:47" x14ac:dyDescent="0.35">
      <c r="B58" s="6" t="s">
        <v>96</v>
      </c>
      <c r="N58" s="15">
        <v>45633</v>
      </c>
      <c r="O58" s="15">
        <v>47720</v>
      </c>
      <c r="P58" s="15">
        <v>50909</v>
      </c>
      <c r="Q58" s="15">
        <v>53726</v>
      </c>
      <c r="R58" s="15">
        <v>57809</v>
      </c>
      <c r="S58" s="15">
        <v>61582</v>
      </c>
      <c r="T58" s="15">
        <v>67588</v>
      </c>
      <c r="U58" s="15">
        <v>73738</v>
      </c>
      <c r="V58" s="15">
        <v>79518</v>
      </c>
      <c r="W58" s="20">
        <v>84156</v>
      </c>
    </row>
    <row r="59" spans="1:47" x14ac:dyDescent="0.35">
      <c r="B59" s="6" t="s">
        <v>97</v>
      </c>
      <c r="N59" s="15">
        <v>9348</v>
      </c>
      <c r="O59" s="15">
        <v>10202</v>
      </c>
      <c r="P59" s="15">
        <v>10525</v>
      </c>
      <c r="Q59" s="15">
        <v>11063</v>
      </c>
      <c r="R59" s="15">
        <v>12155</v>
      </c>
      <c r="S59" s="15">
        <v>12241</v>
      </c>
      <c r="T59" s="15">
        <v>14130</v>
      </c>
      <c r="U59" s="15">
        <v>13641</v>
      </c>
      <c r="V59" s="15">
        <v>12673</v>
      </c>
      <c r="W59" s="20">
        <v>12899</v>
      </c>
    </row>
    <row r="60" spans="1:47" x14ac:dyDescent="0.35">
      <c r="B60" s="6" t="s">
        <v>98</v>
      </c>
      <c r="N60" s="15">
        <f>623+19050</f>
        <v>19673</v>
      </c>
      <c r="O60" s="15">
        <f>505+19056</f>
        <v>19561</v>
      </c>
      <c r="P60" s="15">
        <f>19219+514</f>
        <v>19733</v>
      </c>
      <c r="Q60" s="15">
        <f>365+19065</f>
        <v>19430</v>
      </c>
      <c r="R60" s="15">
        <f>19197+634</f>
        <v>19831</v>
      </c>
      <c r="S60" s="15">
        <f>910+19923</f>
        <v>20833</v>
      </c>
      <c r="T60" s="15">
        <f>965+20229</f>
        <v>21194</v>
      </c>
      <c r="U60" s="15">
        <f>875+20268</f>
        <v>21143</v>
      </c>
      <c r="V60" s="15">
        <f>20306+897</f>
        <v>21203</v>
      </c>
      <c r="W60" s="20">
        <f>949+20649</f>
        <v>21598</v>
      </c>
    </row>
    <row r="61" spans="1:47" x14ac:dyDescent="0.35">
      <c r="A61" t="s">
        <v>3</v>
      </c>
      <c r="B61" s="6" t="s">
        <v>99</v>
      </c>
      <c r="N61" s="15">
        <v>2758</v>
      </c>
      <c r="O61" s="15">
        <v>2376</v>
      </c>
      <c r="P61" s="15">
        <v>2352</v>
      </c>
      <c r="Q61" s="15">
        <v>3187</v>
      </c>
      <c r="R61" s="15">
        <v>2751</v>
      </c>
      <c r="S61" s="15">
        <v>3522</v>
      </c>
      <c r="T61" s="15">
        <v>4344</v>
      </c>
      <c r="U61" s="15">
        <v>5529</v>
      </c>
      <c r="V61" s="15">
        <v>6583</v>
      </c>
      <c r="W61" s="20">
        <v>7188</v>
      </c>
    </row>
    <row r="62" spans="1:47" x14ac:dyDescent="0.35">
      <c r="B62" s="6" t="s">
        <v>100</v>
      </c>
      <c r="N62" s="16">
        <f>SUM(N55:N61)</f>
        <v>159316</v>
      </c>
      <c r="O62" s="16">
        <f t="shared" ref="O62:W62" si="62">SUM(O55:O61)</f>
        <v>163523</v>
      </c>
      <c r="P62" s="16">
        <f t="shared" si="62"/>
        <v>170609</v>
      </c>
      <c r="Q62" s="16">
        <f t="shared" si="62"/>
        <v>169585</v>
      </c>
      <c r="R62" s="16">
        <f t="shared" si="62"/>
        <v>165987</v>
      </c>
      <c r="S62" s="16">
        <f t="shared" si="62"/>
        <v>164218</v>
      </c>
      <c r="T62" s="16">
        <f t="shared" si="62"/>
        <v>169779</v>
      </c>
      <c r="U62" s="16">
        <f t="shared" si="62"/>
        <v>178894</v>
      </c>
      <c r="V62" s="16">
        <f t="shared" si="62"/>
        <v>191487</v>
      </c>
      <c r="W62" s="20">
        <f t="shared" si="62"/>
        <v>199293</v>
      </c>
    </row>
    <row r="63" spans="1:47" x14ac:dyDescent="0.35">
      <c r="A63" t="s">
        <v>3</v>
      </c>
      <c r="B63" s="6"/>
      <c r="N63" s="16"/>
      <c r="O63" s="16"/>
      <c r="P63" s="16"/>
      <c r="Q63" s="16"/>
      <c r="R63" s="16"/>
      <c r="S63" s="16"/>
      <c r="T63" s="16"/>
      <c r="U63" s="16"/>
      <c r="V63" s="16"/>
      <c r="W63" s="20"/>
    </row>
    <row r="64" spans="1:47" x14ac:dyDescent="0.35">
      <c r="B64" s="6" t="s">
        <v>101</v>
      </c>
      <c r="N64" s="15">
        <v>1331</v>
      </c>
      <c r="O64" s="15">
        <v>878</v>
      </c>
      <c r="P64" s="15">
        <v>973</v>
      </c>
      <c r="Q64" s="15">
        <v>2195</v>
      </c>
      <c r="R64" s="15">
        <v>4083</v>
      </c>
      <c r="S64" s="15">
        <v>3246</v>
      </c>
      <c r="T64" s="15">
        <v>4008</v>
      </c>
      <c r="U64" s="15">
        <v>3871</v>
      </c>
      <c r="V64" s="15">
        <v>4990</v>
      </c>
      <c r="W64" s="20">
        <v>3672</v>
      </c>
    </row>
    <row r="65" spans="1:26" x14ac:dyDescent="0.35">
      <c r="B65" s="6" t="s">
        <v>102</v>
      </c>
      <c r="N65" s="15">
        <v>1093</v>
      </c>
      <c r="O65" s="15">
        <v>1006</v>
      </c>
      <c r="P65" s="15">
        <v>949</v>
      </c>
      <c r="Q65" s="15">
        <v>909</v>
      </c>
      <c r="R65" s="15">
        <v>1052</v>
      </c>
      <c r="S65" s="15">
        <v>935</v>
      </c>
      <c r="T65" s="15">
        <v>982</v>
      </c>
      <c r="U65" s="15">
        <v>975</v>
      </c>
      <c r="V65" s="15">
        <v>1117</v>
      </c>
      <c r="W65" s="20">
        <v>885</v>
      </c>
    </row>
    <row r="66" spans="1:26" x14ac:dyDescent="0.35">
      <c r="B66" s="6" t="s">
        <v>103</v>
      </c>
      <c r="N66" s="15">
        <f>1023+9631</f>
        <v>10654</v>
      </c>
      <c r="O66" s="15">
        <f>1040+10574</f>
        <v>11614</v>
      </c>
      <c r="P66" s="15">
        <f>1051+10956</f>
        <v>12007</v>
      </c>
      <c r="Q66" s="15">
        <f>1086+11554</f>
        <v>12640</v>
      </c>
      <c r="R66" s="15">
        <f>1127+12746</f>
        <v>13873</v>
      </c>
      <c r="S66" s="15">
        <f>1159+12894</f>
        <v>14053</v>
      </c>
      <c r="T66" s="15">
        <f>1275+14792</f>
        <v>16067</v>
      </c>
      <c r="U66" s="15">
        <f>1291+14687</f>
        <v>15978</v>
      </c>
      <c r="V66" s="16">
        <f>15301+1367</f>
        <v>16668</v>
      </c>
      <c r="W66" s="20">
        <f>16171+1479</f>
        <v>17650</v>
      </c>
    </row>
    <row r="67" spans="1:26" x14ac:dyDescent="0.35">
      <c r="B67" s="6" t="s">
        <v>104</v>
      </c>
      <c r="N67" s="15">
        <v>11152</v>
      </c>
      <c r="O67" s="15">
        <v>9411</v>
      </c>
      <c r="P67" s="15">
        <v>11510</v>
      </c>
      <c r="Q67" s="15">
        <v>13158</v>
      </c>
      <c r="R67" s="15">
        <v>14312</v>
      </c>
      <c r="S67" s="15">
        <v>15226</v>
      </c>
      <c r="T67" s="15">
        <v>15420</v>
      </c>
      <c r="U67" s="15">
        <v>16036</v>
      </c>
      <c r="V67" s="16">
        <v>19552</v>
      </c>
      <c r="W67" s="20">
        <v>19345</v>
      </c>
    </row>
    <row r="68" spans="1:26" x14ac:dyDescent="0.35">
      <c r="B68" s="6" t="s">
        <v>105</v>
      </c>
      <c r="N68" s="15">
        <v>382</v>
      </c>
      <c r="O68" s="15">
        <v>382</v>
      </c>
      <c r="P68" s="15">
        <v>391</v>
      </c>
      <c r="Q68" s="15">
        <v>464</v>
      </c>
      <c r="R68" s="15">
        <v>561</v>
      </c>
      <c r="S68" s="15">
        <v>520</v>
      </c>
      <c r="T68" s="15">
        <v>532</v>
      </c>
      <c r="U68" s="15">
        <v>514</v>
      </c>
      <c r="V68" s="16">
        <v>526</v>
      </c>
      <c r="W68" s="20">
        <v>492</v>
      </c>
    </row>
    <row r="69" spans="1:26" x14ac:dyDescent="0.35">
      <c r="B69" s="6" t="s">
        <v>35</v>
      </c>
      <c r="N69" s="16"/>
      <c r="O69" s="16"/>
      <c r="P69" s="16"/>
      <c r="Q69" s="16"/>
      <c r="R69" s="16"/>
      <c r="S69" s="16"/>
      <c r="T69" s="16"/>
      <c r="U69" s="15">
        <v>9922</v>
      </c>
      <c r="V69" s="15">
        <f>+U69</f>
        <v>9922</v>
      </c>
      <c r="W69" s="19">
        <f>+V69</f>
        <v>9922</v>
      </c>
      <c r="X69" s="16">
        <f>W69</f>
        <v>9922</v>
      </c>
      <c r="Y69" s="16">
        <f>X69</f>
        <v>9922</v>
      </c>
      <c r="Z69" s="16">
        <f>Y69</f>
        <v>9922</v>
      </c>
    </row>
    <row r="70" spans="1:26" x14ac:dyDescent="0.35">
      <c r="B70" s="6" t="s">
        <v>106</v>
      </c>
      <c r="N70" s="15">
        <v>6414</v>
      </c>
      <c r="O70" s="15">
        <v>6575</v>
      </c>
      <c r="P70" s="15">
        <v>6552</v>
      </c>
      <c r="Q70" s="15">
        <v>6859</v>
      </c>
      <c r="R70" s="15">
        <v>7227</v>
      </c>
      <c r="S70" s="15">
        <v>7010</v>
      </c>
      <c r="T70" s="15">
        <v>7003</v>
      </c>
      <c r="U70" s="15">
        <v>7504</v>
      </c>
      <c r="V70" s="15">
        <v>7764</v>
      </c>
      <c r="W70" s="20">
        <v>8219</v>
      </c>
    </row>
    <row r="71" spans="1:26" x14ac:dyDescent="0.35">
      <c r="B71" s="6" t="s">
        <v>107</v>
      </c>
      <c r="N71" s="15">
        <v>50018</v>
      </c>
      <c r="O71" s="15">
        <v>51160</v>
      </c>
      <c r="P71" s="15">
        <v>52845</v>
      </c>
      <c r="Q71" s="15">
        <v>54334</v>
      </c>
      <c r="R71" s="15">
        <v>55811</v>
      </c>
      <c r="S71" s="15">
        <v>57512</v>
      </c>
      <c r="T71" s="15">
        <v>59929</v>
      </c>
      <c r="U71" s="15">
        <v>62092</v>
      </c>
      <c r="V71" s="15">
        <v>64444</v>
      </c>
      <c r="W71" s="20">
        <v>66535</v>
      </c>
    </row>
    <row r="72" spans="1:26" x14ac:dyDescent="0.35">
      <c r="B72" s="6" t="s">
        <v>108</v>
      </c>
      <c r="N72" s="15">
        <v>927</v>
      </c>
      <c r="O72" s="15">
        <v>154</v>
      </c>
      <c r="P72" s="15">
        <v>285</v>
      </c>
      <c r="Q72" s="15">
        <v>-207</v>
      </c>
      <c r="R72" s="15">
        <v>-693</v>
      </c>
      <c r="S72" s="15">
        <v>-1996</v>
      </c>
      <c r="T72" s="15">
        <v>-3411</v>
      </c>
      <c r="U72" s="15">
        <v>-5054</v>
      </c>
      <c r="V72" s="15">
        <v>-3530</v>
      </c>
      <c r="W72" s="20">
        <v>-2981</v>
      </c>
      <c r="Z72" s="16">
        <f>W62-W74</f>
        <v>14313</v>
      </c>
    </row>
    <row r="73" spans="1:26" x14ac:dyDescent="0.35">
      <c r="A73" t="s">
        <v>3</v>
      </c>
      <c r="B73" s="6" t="s">
        <v>109</v>
      </c>
      <c r="N73" s="15">
        <v>77345</v>
      </c>
      <c r="O73" s="15">
        <v>82343</v>
      </c>
      <c r="P73" s="15">
        <v>85097</v>
      </c>
      <c r="Q73" s="15">
        <v>79233</v>
      </c>
      <c r="R73" s="15">
        <v>69761</v>
      </c>
      <c r="S73" s="15">
        <v>67712</v>
      </c>
      <c r="T73" s="15">
        <v>69249</v>
      </c>
      <c r="U73" s="15">
        <v>67056</v>
      </c>
      <c r="V73" s="16">
        <v>64799</v>
      </c>
      <c r="W73" s="20">
        <v>61241</v>
      </c>
    </row>
    <row r="74" spans="1:26" x14ac:dyDescent="0.35">
      <c r="B74" s="6" t="s">
        <v>110</v>
      </c>
      <c r="N74" s="16">
        <f>SUM(N64:N73)</f>
        <v>159316</v>
      </c>
      <c r="O74" s="16">
        <f t="shared" ref="O74:W74" si="63">SUM(O64:O73)</f>
        <v>163523</v>
      </c>
      <c r="P74" s="16">
        <f t="shared" si="63"/>
        <v>170609</v>
      </c>
      <c r="Q74" s="16">
        <f t="shared" si="63"/>
        <v>169585</v>
      </c>
      <c r="R74" s="16">
        <f t="shared" si="63"/>
        <v>165987</v>
      </c>
      <c r="S74" s="16">
        <f t="shared" si="63"/>
        <v>164218</v>
      </c>
      <c r="T74" s="16">
        <f t="shared" si="63"/>
        <v>169779</v>
      </c>
      <c r="U74" s="16">
        <f t="shared" si="63"/>
        <v>178894</v>
      </c>
      <c r="V74" s="16">
        <f t="shared" si="63"/>
        <v>186252</v>
      </c>
      <c r="W74" s="20">
        <f>SUM(W64:W73)</f>
        <v>184980</v>
      </c>
      <c r="Y74" s="16"/>
    </row>
    <row r="75" spans="1:26" x14ac:dyDescent="0.35">
      <c r="A75" t="s">
        <v>3</v>
      </c>
      <c r="B75" s="6"/>
      <c r="N75" s="16"/>
      <c r="O75" s="16"/>
      <c r="P75" s="16"/>
      <c r="Q75" s="16"/>
      <c r="R75" s="16"/>
      <c r="S75" s="16"/>
      <c r="T75" s="16"/>
      <c r="U75" s="16"/>
      <c r="V75" s="16"/>
      <c r="W75" s="20"/>
    </row>
    <row r="76" spans="1:26" x14ac:dyDescent="0.35">
      <c r="B76" s="6" t="s">
        <v>111</v>
      </c>
      <c r="O76" s="16">
        <f>O38</f>
        <v>9497</v>
      </c>
      <c r="P76" s="16">
        <f>P38</f>
        <v>10394</v>
      </c>
      <c r="Q76" s="16">
        <f t="shared" ref="Q76:V76" si="64">Q38</f>
        <v>9194</v>
      </c>
      <c r="R76" s="16">
        <f t="shared" si="64"/>
        <v>10285</v>
      </c>
      <c r="S76" s="16">
        <f t="shared" si="64"/>
        <v>7465</v>
      </c>
      <c r="T76" s="16">
        <f t="shared" si="64"/>
        <v>6687</v>
      </c>
      <c r="U76" s="16">
        <f t="shared" si="64"/>
        <v>4395</v>
      </c>
      <c r="V76" s="16">
        <f t="shared" si="64"/>
        <v>4652</v>
      </c>
      <c r="W76" s="20">
        <f>W38</f>
        <v>5709</v>
      </c>
    </row>
    <row r="77" spans="1:26" x14ac:dyDescent="0.35">
      <c r="B77" s="6" t="s">
        <v>112</v>
      </c>
      <c r="O77" s="15">
        <v>9497</v>
      </c>
      <c r="P77" s="15">
        <f>19892-O77</f>
        <v>10395</v>
      </c>
      <c r="Q77" s="15">
        <f>29085-P77-O77</f>
        <v>9193</v>
      </c>
      <c r="R77" s="15">
        <v>10285</v>
      </c>
      <c r="S77" s="15">
        <v>7465</v>
      </c>
      <c r="T77" s="15">
        <v>6687</v>
      </c>
      <c r="U77" s="15">
        <f>18547-T77-S77</f>
        <v>4395</v>
      </c>
      <c r="V77" s="16">
        <f>23200-U77-T77-S77</f>
        <v>4653</v>
      </c>
      <c r="W77" s="20">
        <v>5709</v>
      </c>
    </row>
    <row r="78" spans="1:26" x14ac:dyDescent="0.35">
      <c r="B78" s="6" t="s">
        <v>113</v>
      </c>
      <c r="O78" s="15">
        <v>1972</v>
      </c>
      <c r="P78" s="16">
        <f>3958-O78</f>
        <v>1986</v>
      </c>
      <c r="Q78" s="16">
        <f>5953-P78-O78</f>
        <v>1995</v>
      </c>
      <c r="R78" s="16">
        <v>2014</v>
      </c>
      <c r="S78" s="16">
        <v>2156</v>
      </c>
      <c r="T78" s="16">
        <v>1979</v>
      </c>
      <c r="U78" s="16">
        <f>6310-T78-S78</f>
        <v>2175</v>
      </c>
      <c r="V78" s="16">
        <f>8686-U78-T78-S78</f>
        <v>2376</v>
      </c>
      <c r="W78" s="20">
        <v>2524</v>
      </c>
    </row>
    <row r="79" spans="1:26" x14ac:dyDescent="0.35">
      <c r="B79" s="6" t="s">
        <v>114</v>
      </c>
      <c r="O79" s="15">
        <v>1972</v>
      </c>
      <c r="P79" s="15">
        <f>3958-O79</f>
        <v>1986</v>
      </c>
      <c r="Q79" s="15">
        <f>5953-P79-O79</f>
        <v>1995</v>
      </c>
      <c r="R79" s="15">
        <v>2014</v>
      </c>
      <c r="S79" s="15">
        <v>2156</v>
      </c>
      <c r="T79" s="15">
        <v>1979</v>
      </c>
      <c r="U79" s="15">
        <f>6310-T79-S79</f>
        <v>2175</v>
      </c>
      <c r="V79" s="16">
        <f>11992-U79-T79-S79</f>
        <v>5682</v>
      </c>
      <c r="W79" s="20">
        <v>2524</v>
      </c>
    </row>
    <row r="80" spans="1:26" x14ac:dyDescent="0.35">
      <c r="B80" s="6" t="s">
        <v>115</v>
      </c>
      <c r="O80" s="15">
        <v>418</v>
      </c>
      <c r="P80" s="15">
        <f>647-O80</f>
        <v>229</v>
      </c>
      <c r="Q80" s="15">
        <f>-139-P80-O80</f>
        <v>-786</v>
      </c>
      <c r="R80" s="15">
        <v>748</v>
      </c>
      <c r="S80" s="15">
        <v>-563</v>
      </c>
      <c r="T80" s="15">
        <v>-453</v>
      </c>
      <c r="U80" s="15">
        <f>-2113-T80-S80</f>
        <v>-1097</v>
      </c>
      <c r="V80" s="16">
        <f>-3286-U80-T80-S80</f>
        <v>-1173</v>
      </c>
      <c r="W80" s="20">
        <v>-620</v>
      </c>
    </row>
    <row r="81" spans="1:23" x14ac:dyDescent="0.35">
      <c r="B81" s="6" t="s">
        <v>68</v>
      </c>
      <c r="O81" s="15">
        <v>-66</v>
      </c>
      <c r="P81" s="16">
        <v>-22</v>
      </c>
      <c r="Q81" s="16">
        <v>-73</v>
      </c>
      <c r="R81" s="15">
        <v>34</v>
      </c>
      <c r="S81" s="15">
        <v>-221</v>
      </c>
      <c r="T81" s="15">
        <v>189</v>
      </c>
      <c r="U81" s="16">
        <v>561</v>
      </c>
      <c r="V81" s="16">
        <v>178</v>
      </c>
      <c r="W81" s="20">
        <v>-7</v>
      </c>
    </row>
    <row r="82" spans="1:23" x14ac:dyDescent="0.35">
      <c r="A82" t="s">
        <v>3</v>
      </c>
      <c r="B82" s="6" t="s">
        <v>152</v>
      </c>
      <c r="O82" s="26">
        <f>849-461-10-250-72-1681+6+210</f>
        <v>-1409</v>
      </c>
      <c r="P82" s="26">
        <f>-517-2313-195-134-133-200+9+184-O82</f>
        <v>-1890</v>
      </c>
      <c r="Q82" s="26">
        <f>-1072-2566-184+560-163+895+87+527-P82-O82</f>
        <v>1383</v>
      </c>
      <c r="R82" s="26">
        <f>-2038+817-165+876+151+2462+100+414</f>
        <v>2617</v>
      </c>
      <c r="S82" s="26">
        <f>2557+573-108-882-105+763-52-5</f>
        <v>2741</v>
      </c>
      <c r="T82" s="26">
        <f>-522-435-25+237+73+1180+24-88</f>
        <v>444</v>
      </c>
      <c r="U82" s="26">
        <f>1930-693-160-666-12+2942-35+446-T82-S82</f>
        <v>567</v>
      </c>
      <c r="V82" s="14">
        <f>V26*AVERAGE(R83:U83)</f>
        <v>1703.1536979634111</v>
      </c>
      <c r="W82" s="25">
        <f>W26*AVERAGE(S83:V83)</f>
        <v>1339.36833811357</v>
      </c>
    </row>
    <row r="83" spans="1:23" x14ac:dyDescent="0.35">
      <c r="B83" s="6" t="s">
        <v>153</v>
      </c>
      <c r="O83" s="27">
        <f>O82/O26</f>
        <v>-5.3838217874746859E-2</v>
      </c>
      <c r="P83" s="27">
        <f t="shared" ref="P83:T83" si="65">P82/P26</f>
        <v>-6.4999828042782953E-2</v>
      </c>
      <c r="Q83" s="27">
        <f t="shared" si="65"/>
        <v>4.7673216132368149E-2</v>
      </c>
      <c r="R83" s="27">
        <f t="shared" si="65"/>
        <v>7.7722669359389387E-2</v>
      </c>
      <c r="S83" s="27">
        <f t="shared" si="65"/>
        <v>9.8215565429267598E-2</v>
      </c>
      <c r="T83" s="27">
        <f t="shared" si="65"/>
        <v>1.5404899035459024E-2</v>
      </c>
      <c r="U83" s="27">
        <f>U82/U26</f>
        <v>2.0458973803853649E-2</v>
      </c>
      <c r="V83" s="27">
        <f>V82/V26</f>
        <v>5.2950526906992416E-2</v>
      </c>
      <c r="W83" s="28">
        <f>W82/W26</f>
        <v>4.6757491293893172E-2</v>
      </c>
    </row>
    <row r="84" spans="1:23" x14ac:dyDescent="0.35">
      <c r="B84" s="6" t="s">
        <v>116</v>
      </c>
      <c r="O84" s="14">
        <f>SUM(O77:O81)+O82</f>
        <v>12384</v>
      </c>
      <c r="P84" s="14">
        <f t="shared" ref="P84:W84" si="66">SUM(P77:P81)+P82</f>
        <v>12684</v>
      </c>
      <c r="Q84" s="14">
        <f t="shared" si="66"/>
        <v>13707</v>
      </c>
      <c r="R84" s="14">
        <f t="shared" si="66"/>
        <v>17712</v>
      </c>
      <c r="S84" s="14">
        <f t="shared" si="66"/>
        <v>13734</v>
      </c>
      <c r="T84" s="14">
        <f t="shared" si="66"/>
        <v>10825</v>
      </c>
      <c r="U84" s="14">
        <f t="shared" si="66"/>
        <v>8776</v>
      </c>
      <c r="V84" s="14">
        <f t="shared" si="66"/>
        <v>13419.153697963411</v>
      </c>
      <c r="W84" s="25">
        <f t="shared" si="66"/>
        <v>11469.368338113571</v>
      </c>
    </row>
    <row r="85" spans="1:23" x14ac:dyDescent="0.35">
      <c r="V85" s="16"/>
      <c r="W85" s="6"/>
    </row>
    <row r="86" spans="1:23" x14ac:dyDescent="0.35">
      <c r="A86" t="s">
        <v>3</v>
      </c>
      <c r="B86" s="6" t="s">
        <v>117</v>
      </c>
      <c r="O86" s="15">
        <v>-4272</v>
      </c>
      <c r="P86" s="15">
        <f>-8884-O86</f>
        <v>-4612</v>
      </c>
      <c r="Q86" s="15">
        <f>-13198-P86-O86</f>
        <v>-4314</v>
      </c>
      <c r="R86" s="15">
        <v>-5370</v>
      </c>
      <c r="S86" s="15">
        <f>-5441+126</f>
        <v>-5315</v>
      </c>
      <c r="T86" s="15">
        <f>-7572+44</f>
        <v>-7528</v>
      </c>
      <c r="U86" s="15">
        <f>-22388-T86-S86+190</f>
        <v>-9355</v>
      </c>
      <c r="V86" s="16">
        <f>-31431+245-U86-T86-S86</f>
        <v>-8988</v>
      </c>
      <c r="W86" s="20">
        <f>-6842+19</f>
        <v>-6823</v>
      </c>
    </row>
    <row r="87" spans="1:23" x14ac:dyDescent="0.35">
      <c r="B87" s="6" t="s">
        <v>118</v>
      </c>
      <c r="O87" s="15">
        <f>-6231+1650+3981-2</f>
        <v>-602</v>
      </c>
      <c r="P87" s="15">
        <f>-16528+6337+6327-O87-62</f>
        <v>-3324</v>
      </c>
      <c r="Q87" s="15">
        <f>-24314+15331+9318-46-160-P87-O87</f>
        <v>4055</v>
      </c>
      <c r="R87" s="15">
        <f>-6093+16340+1598-2-123</f>
        <v>11720</v>
      </c>
      <c r="S87" s="15">
        <f>-4068+5065+402-10</f>
        <v>1389</v>
      </c>
      <c r="T87" s="15">
        <f>-2220+2648+511-7</f>
        <v>932</v>
      </c>
      <c r="U87" s="15">
        <f>-8885+9333+1562-T87-S87</f>
        <v>-311</v>
      </c>
      <c r="V87" s="16">
        <f>3528-U87-T87-S87</f>
        <v>1518</v>
      </c>
      <c r="W87" s="20">
        <f>-85+534+75</f>
        <v>524</v>
      </c>
    </row>
    <row r="88" spans="1:23" x14ac:dyDescent="0.35">
      <c r="B88" s="6" t="s">
        <v>30</v>
      </c>
      <c r="O88" s="15">
        <v>0</v>
      </c>
      <c r="P88" s="15">
        <f>-259-O88</f>
        <v>-259</v>
      </c>
      <c r="Q88" s="15">
        <f>-330-P88-O88</f>
        <v>-71</v>
      </c>
      <c r="R88" s="15">
        <v>-521</v>
      </c>
      <c r="S88" s="15">
        <v>-853</v>
      </c>
      <c r="T88" s="15">
        <v>-363</v>
      </c>
      <c r="U88" s="15">
        <f>-1250-1-T88-S88</f>
        <v>-35</v>
      </c>
      <c r="V88" s="16">
        <f>-1312-U88-T88-S88</f>
        <v>-61</v>
      </c>
      <c r="W88" s="20">
        <v>-444</v>
      </c>
    </row>
    <row r="89" spans="1:23" x14ac:dyDescent="0.35">
      <c r="A89" t="s">
        <v>3</v>
      </c>
      <c r="B89" s="6" t="s">
        <v>119</v>
      </c>
      <c r="O89" s="15">
        <f>SUM(O86:O88)</f>
        <v>-4874</v>
      </c>
      <c r="P89" s="15">
        <f>SUM(P86:P88)</f>
        <v>-8195</v>
      </c>
      <c r="Q89" s="15">
        <f t="shared" ref="Q89:W89" si="67">SUM(Q86:Q88)</f>
        <v>-330</v>
      </c>
      <c r="R89" s="15">
        <f t="shared" si="67"/>
        <v>5829</v>
      </c>
      <c r="S89" s="15">
        <f t="shared" si="67"/>
        <v>-4779</v>
      </c>
      <c r="T89" s="15">
        <f t="shared" si="67"/>
        <v>-6959</v>
      </c>
      <c r="U89" s="15">
        <f t="shared" si="67"/>
        <v>-9701</v>
      </c>
      <c r="V89" s="15">
        <f t="shared" si="67"/>
        <v>-7531</v>
      </c>
      <c r="W89" s="19">
        <f t="shared" si="67"/>
        <v>-6743</v>
      </c>
    </row>
    <row r="90" spans="1:23" x14ac:dyDescent="0.35">
      <c r="B90" s="6"/>
      <c r="R90" s="10"/>
      <c r="V90" s="10"/>
      <c r="W90" s="6"/>
    </row>
    <row r="91" spans="1:23" x14ac:dyDescent="0.35">
      <c r="A91" t="s">
        <v>3</v>
      </c>
      <c r="B91" s="6" t="s">
        <v>120</v>
      </c>
      <c r="O91" s="15">
        <v>-1077</v>
      </c>
      <c r="P91" s="15">
        <f>-2432-O91</f>
        <v>-1355</v>
      </c>
      <c r="Q91" s="15">
        <f>-4007-P91-O91</f>
        <v>-1575</v>
      </c>
      <c r="R91" s="15">
        <v>-1507</v>
      </c>
      <c r="S91" s="15">
        <v>-925</v>
      </c>
      <c r="T91" s="15">
        <v>-1002</v>
      </c>
      <c r="U91" s="15">
        <f>-2938-T91-S91</f>
        <v>-1011</v>
      </c>
      <c r="V91" s="16">
        <f>-3595-U91-T91-S91</f>
        <v>-657</v>
      </c>
      <c r="W91" s="20">
        <v>-1009</v>
      </c>
    </row>
    <row r="92" spans="1:23" x14ac:dyDescent="0.35">
      <c r="B92" s="6" t="s">
        <v>121</v>
      </c>
      <c r="O92" s="39">
        <v>-3939</v>
      </c>
      <c r="P92" s="39">
        <f>-11018-O92</f>
        <v>-7079</v>
      </c>
      <c r="Q92" s="39">
        <f>-24476-P92-O92</f>
        <v>-13458</v>
      </c>
      <c r="R92" s="39">
        <v>-20063</v>
      </c>
      <c r="S92" s="39">
        <v>-9506</v>
      </c>
      <c r="T92" s="39">
        <v>-5233</v>
      </c>
      <c r="U92" s="39">
        <f>-21093-T92-S92</f>
        <v>-6354</v>
      </c>
      <c r="V92" s="40">
        <f>-27956-U92-T92-S92</f>
        <v>-6863</v>
      </c>
      <c r="W92" s="41">
        <v>-9365</v>
      </c>
    </row>
    <row r="93" spans="1:23" x14ac:dyDescent="0.35">
      <c r="B93" s="6" t="s">
        <v>35</v>
      </c>
      <c r="O93" s="15"/>
      <c r="P93" s="15"/>
      <c r="Q93" s="15"/>
      <c r="R93" s="15"/>
      <c r="S93" s="15">
        <v>0</v>
      </c>
      <c r="T93" s="15">
        <v>0</v>
      </c>
      <c r="U93" s="15">
        <f>9921-T93-S93</f>
        <v>9921</v>
      </c>
      <c r="V93" s="15">
        <v>0</v>
      </c>
      <c r="W93" s="19">
        <v>0</v>
      </c>
    </row>
    <row r="94" spans="1:23" x14ac:dyDescent="0.35">
      <c r="B94" s="6" t="s">
        <v>68</v>
      </c>
      <c r="O94" s="15">
        <f>-151+32-50</f>
        <v>-169</v>
      </c>
      <c r="P94" s="15">
        <f>-274-O94+3-13</f>
        <v>-115</v>
      </c>
      <c r="Q94" s="15">
        <f>-505+15-13-P94-O94</f>
        <v>-219</v>
      </c>
      <c r="R94" s="15">
        <v>-172</v>
      </c>
      <c r="S94" s="15">
        <f>-233+20-16</f>
        <v>-229</v>
      </c>
      <c r="T94" s="15">
        <f>-219-79-30</f>
        <v>-328</v>
      </c>
      <c r="U94" s="15">
        <f>-615-250-101-T94-S94</f>
        <v>-409</v>
      </c>
      <c r="V94" s="16">
        <f>-850+344-U94-T94-S94</f>
        <v>460</v>
      </c>
      <c r="W94" s="20">
        <f>-264+122</f>
        <v>-142</v>
      </c>
    </row>
    <row r="95" spans="1:23" x14ac:dyDescent="0.35">
      <c r="B95" s="6" t="s">
        <v>122</v>
      </c>
      <c r="O95" s="15">
        <f t="shared" ref="O95:W95" si="68">SUM(O91:O94)</f>
        <v>-5185</v>
      </c>
      <c r="P95" s="15">
        <f t="shared" si="68"/>
        <v>-8549</v>
      </c>
      <c r="Q95" s="15">
        <f t="shared" si="68"/>
        <v>-15252</v>
      </c>
      <c r="R95" s="15">
        <f t="shared" si="68"/>
        <v>-21742</v>
      </c>
      <c r="S95" s="15">
        <f t="shared" si="68"/>
        <v>-10660</v>
      </c>
      <c r="T95" s="15">
        <f t="shared" si="68"/>
        <v>-6563</v>
      </c>
      <c r="U95" s="15">
        <f t="shared" si="68"/>
        <v>2147</v>
      </c>
      <c r="V95" s="15">
        <f t="shared" si="68"/>
        <v>-7060</v>
      </c>
      <c r="W95" s="19">
        <f t="shared" si="68"/>
        <v>-10516</v>
      </c>
    </row>
    <row r="96" spans="1:23" x14ac:dyDescent="0.35">
      <c r="B96" s="6" t="s">
        <v>123</v>
      </c>
      <c r="O96" s="15">
        <v>-246</v>
      </c>
      <c r="P96" s="15">
        <f>-129-O96</f>
        <v>117</v>
      </c>
      <c r="Q96" s="15">
        <f>-344-P96-O96</f>
        <v>-215</v>
      </c>
      <c r="R96" s="15">
        <v>-130</v>
      </c>
      <c r="S96" s="15">
        <v>-149</v>
      </c>
      <c r="T96" s="15">
        <v>-550</v>
      </c>
      <c r="U96" s="15">
        <f>-1063-T96-S96</f>
        <v>-364</v>
      </c>
      <c r="V96" s="16">
        <f>-638-U96-T96-S96</f>
        <v>425</v>
      </c>
      <c r="W96" s="20">
        <v>85</v>
      </c>
    </row>
    <row r="97" spans="1:23" x14ac:dyDescent="0.35">
      <c r="A97" t="s">
        <v>3</v>
      </c>
      <c r="B97" s="6" t="s">
        <v>124</v>
      </c>
      <c r="O97" s="15">
        <f t="shared" ref="O97:T97" si="69">+O96+O95+O89+O84</f>
        <v>2079</v>
      </c>
      <c r="P97" s="15">
        <f t="shared" si="69"/>
        <v>-3943</v>
      </c>
      <c r="Q97" s="15">
        <f t="shared" si="69"/>
        <v>-2090</v>
      </c>
      <c r="R97" s="15">
        <f t="shared" si="69"/>
        <v>1669</v>
      </c>
      <c r="S97" s="15">
        <f t="shared" si="69"/>
        <v>-1854</v>
      </c>
      <c r="T97" s="15">
        <f t="shared" si="69"/>
        <v>-3247</v>
      </c>
      <c r="U97" s="15">
        <f>+U96+U95+U89+U84</f>
        <v>858</v>
      </c>
      <c r="V97" s="15">
        <f>+V96+V95+V89+V84</f>
        <v>-746.8463020365889</v>
      </c>
      <c r="W97" s="19">
        <f>+W96+W95+W89+W84</f>
        <v>-5704.6316618864294</v>
      </c>
    </row>
    <row r="98" spans="1:23" x14ac:dyDescent="0.35">
      <c r="B98" s="6"/>
      <c r="V98" s="10"/>
      <c r="W98" s="6"/>
    </row>
    <row r="99" spans="1:23" x14ac:dyDescent="0.35">
      <c r="A99" t="s">
        <v>3</v>
      </c>
      <c r="B99" s="6" t="s">
        <v>125</v>
      </c>
      <c r="R99" s="15">
        <v>71970</v>
      </c>
      <c r="S99" s="15">
        <v>77805</v>
      </c>
      <c r="T99" s="15">
        <v>83553</v>
      </c>
      <c r="U99" s="15">
        <v>87314</v>
      </c>
      <c r="V99" s="15">
        <v>86482</v>
      </c>
      <c r="W99" s="20">
        <v>77114</v>
      </c>
    </row>
    <row r="100" spans="1:23" x14ac:dyDescent="0.35">
      <c r="B100" s="6" t="s">
        <v>126</v>
      </c>
      <c r="R100" s="15"/>
      <c r="S100" s="15">
        <f>+S99-R99</f>
        <v>5835</v>
      </c>
      <c r="T100" s="15">
        <f>+T99-S99</f>
        <v>5748</v>
      </c>
      <c r="U100" s="15">
        <f>+U99-T99</f>
        <v>3761</v>
      </c>
      <c r="V100" s="15">
        <f>V99-U99</f>
        <v>-832</v>
      </c>
      <c r="W100" s="20">
        <f>W99-V99</f>
        <v>-9368</v>
      </c>
    </row>
    <row r="101" spans="1:23" x14ac:dyDescent="0.35">
      <c r="B101" s="6"/>
      <c r="W101" s="6"/>
    </row>
    <row r="102" spans="1:23" x14ac:dyDescent="0.35">
      <c r="A102" t="s">
        <v>3</v>
      </c>
      <c r="B102" s="6" t="s">
        <v>127</v>
      </c>
      <c r="O102" s="16">
        <f>O84+O86</f>
        <v>8112</v>
      </c>
      <c r="P102" s="16">
        <f t="shared" ref="P102:W102" si="70">P84+P86</f>
        <v>8072</v>
      </c>
      <c r="Q102" s="16">
        <f t="shared" si="70"/>
        <v>9393</v>
      </c>
      <c r="R102" s="16">
        <f t="shared" si="70"/>
        <v>12342</v>
      </c>
      <c r="S102" s="16">
        <f t="shared" si="70"/>
        <v>8419</v>
      </c>
      <c r="T102" s="16">
        <f t="shared" si="70"/>
        <v>3297</v>
      </c>
      <c r="U102" s="16">
        <f>U84+U86</f>
        <v>-579</v>
      </c>
      <c r="V102" s="16">
        <f>V84+V86</f>
        <v>4431.1536979634111</v>
      </c>
      <c r="W102" s="20">
        <f t="shared" si="70"/>
        <v>4646.3683381135706</v>
      </c>
    </row>
    <row r="103" spans="1:23" x14ac:dyDescent="0.35">
      <c r="B103" s="6" t="s">
        <v>128</v>
      </c>
      <c r="R103" s="16">
        <f>SUM(O102:R102)</f>
        <v>37919</v>
      </c>
      <c r="S103" s="16">
        <f>SUM(P102:S102)</f>
        <v>38226</v>
      </c>
      <c r="T103" s="16">
        <f t="shared" ref="T103:W103" si="71">SUM(Q102:T102)</f>
        <v>33451</v>
      </c>
      <c r="U103" s="16">
        <f t="shared" si="71"/>
        <v>23479</v>
      </c>
      <c r="V103" s="16">
        <f t="shared" si="71"/>
        <v>15568.153697963411</v>
      </c>
      <c r="W103" s="20">
        <f>SUM(T102:W102)</f>
        <v>11795.522036076982</v>
      </c>
    </row>
    <row r="104" spans="1:23" x14ac:dyDescent="0.35">
      <c r="B104" s="6"/>
      <c r="W104" s="6"/>
    </row>
    <row r="105" spans="1:23" x14ac:dyDescent="0.35">
      <c r="A105" t="s">
        <v>3</v>
      </c>
      <c r="B105" s="6" t="s">
        <v>129</v>
      </c>
      <c r="Q105" s="15">
        <v>-2631</v>
      </c>
      <c r="R105" s="15"/>
      <c r="S105" s="15"/>
      <c r="T105" s="15"/>
      <c r="U105" s="15">
        <v>-3672</v>
      </c>
      <c r="W105" s="6"/>
    </row>
    <row r="106" spans="1:23" x14ac:dyDescent="0.35">
      <c r="B106" s="6" t="s">
        <v>155</v>
      </c>
      <c r="Q106" s="31"/>
      <c r="R106" s="31">
        <f t="shared" ref="R106:W106" si="72">SUM(Q24:R24)/SUM(M24:N24)-1</f>
        <v>1.0013947001394699</v>
      </c>
      <c r="S106" s="31">
        <f t="shared" si="72"/>
        <v>0.25659472422062346</v>
      </c>
      <c r="T106" s="31">
        <f t="shared" si="72"/>
        <v>0.36710369487485095</v>
      </c>
      <c r="U106" s="31">
        <f t="shared" si="72"/>
        <v>-0.14600231749710313</v>
      </c>
      <c r="V106" s="31">
        <f t="shared" si="72"/>
        <v>-0.29477351916376304</v>
      </c>
      <c r="W106" s="32">
        <f t="shared" si="72"/>
        <v>-0.32188295165394398</v>
      </c>
    </row>
    <row r="107" spans="1:23" x14ac:dyDescent="0.35">
      <c r="B107" s="6"/>
      <c r="W107" s="6"/>
    </row>
    <row r="108" spans="1:23" x14ac:dyDescent="0.35">
      <c r="A108" t="s">
        <v>3</v>
      </c>
      <c r="B108" s="6" t="s">
        <v>154</v>
      </c>
      <c r="Q108" s="9">
        <v>13054</v>
      </c>
      <c r="R108" s="9"/>
      <c r="S108" s="9"/>
      <c r="T108" s="9"/>
      <c r="U108" s="9">
        <v>9336</v>
      </c>
      <c r="W108" s="6"/>
    </row>
    <row r="109" spans="1:23" x14ac:dyDescent="0.35">
      <c r="B109" s="6" t="s">
        <v>130</v>
      </c>
      <c r="Q109" s="31">
        <f>Q108/Q26</f>
        <v>0.44998276456394348</v>
      </c>
      <c r="R109" s="3"/>
      <c r="S109" s="3"/>
      <c r="T109" s="3"/>
      <c r="U109" s="31">
        <f>U108/U26</f>
        <v>0.33686945226239445</v>
      </c>
      <c r="W109" s="6"/>
    </row>
    <row r="110" spans="1:23" x14ac:dyDescent="0.35">
      <c r="B110" s="6"/>
      <c r="W110" s="6"/>
    </row>
    <row r="111" spans="1:23" x14ac:dyDescent="0.35">
      <c r="A111" t="s">
        <v>3</v>
      </c>
      <c r="B111" s="6" t="s">
        <v>156</v>
      </c>
      <c r="W111" s="6"/>
    </row>
    <row r="112" spans="1:23" x14ac:dyDescent="0.35">
      <c r="W112" s="6"/>
    </row>
    <row r="113" spans="1:2" x14ac:dyDescent="0.35">
      <c r="B113" s="6"/>
    </row>
    <row r="114" spans="1:2" x14ac:dyDescent="0.35">
      <c r="B114" s="6"/>
    </row>
    <row r="115" spans="1:2" x14ac:dyDescent="0.35">
      <c r="A115" t="s">
        <v>3</v>
      </c>
      <c r="B115" s="6"/>
    </row>
    <row r="116" spans="1:2" x14ac:dyDescent="0.35">
      <c r="B116" s="6"/>
    </row>
    <row r="117" spans="1:2" x14ac:dyDescent="0.35">
      <c r="B117" s="6"/>
    </row>
    <row r="118" spans="1:2" x14ac:dyDescent="0.35">
      <c r="B118" s="6"/>
    </row>
    <row r="119" spans="1:2" x14ac:dyDescent="0.35">
      <c r="B119" s="6"/>
    </row>
    <row r="120" spans="1:2" x14ac:dyDescent="0.35">
      <c r="A120" t="s">
        <v>3</v>
      </c>
      <c r="B120" s="6"/>
    </row>
    <row r="121" spans="1:2" x14ac:dyDescent="0.35">
      <c r="B121" s="6"/>
    </row>
    <row r="122" spans="1:2" x14ac:dyDescent="0.35">
      <c r="B122" s="6"/>
    </row>
    <row r="123" spans="1:2" x14ac:dyDescent="0.35">
      <c r="B123" s="6"/>
    </row>
    <row r="124" spans="1:2" x14ac:dyDescent="0.35">
      <c r="B124" s="6"/>
    </row>
    <row r="125" spans="1:2" x14ac:dyDescent="0.35">
      <c r="A125" t="s">
        <v>3</v>
      </c>
      <c r="B125" s="6"/>
    </row>
    <row r="126" spans="1:2" x14ac:dyDescent="0.35">
      <c r="B126" s="6"/>
    </row>
    <row r="127" spans="1:2" x14ac:dyDescent="0.35">
      <c r="B127" s="6"/>
    </row>
    <row r="128" spans="1:2" x14ac:dyDescent="0.35">
      <c r="B128" s="6"/>
    </row>
    <row r="129" spans="1:2" x14ac:dyDescent="0.35">
      <c r="B129" s="6"/>
    </row>
    <row r="130" spans="1:2" x14ac:dyDescent="0.35">
      <c r="A130" t="s">
        <v>3</v>
      </c>
      <c r="B130" s="6"/>
    </row>
    <row r="131" spans="1:2" x14ac:dyDescent="0.35">
      <c r="B131" s="6"/>
    </row>
    <row r="132" spans="1:2" x14ac:dyDescent="0.35">
      <c r="B132" s="6"/>
    </row>
    <row r="133" spans="1:2" x14ac:dyDescent="0.35">
      <c r="B133" s="6"/>
    </row>
    <row r="134" spans="1:2" x14ac:dyDescent="0.35">
      <c r="B134" s="6"/>
    </row>
    <row r="135" spans="1:2" x14ac:dyDescent="0.35">
      <c r="B135" s="6"/>
    </row>
    <row r="136" spans="1:2" x14ac:dyDescent="0.35">
      <c r="B136" s="6"/>
    </row>
    <row r="137" spans="1:2" x14ac:dyDescent="0.35">
      <c r="B137" s="6"/>
    </row>
    <row r="138" spans="1:2" x14ac:dyDescent="0.35">
      <c r="B138" s="6"/>
    </row>
    <row r="139" spans="1:2" x14ac:dyDescent="0.35">
      <c r="B139" s="6"/>
    </row>
    <row r="140" spans="1:2" x14ac:dyDescent="0.35">
      <c r="B140" s="6"/>
    </row>
    <row r="141" spans="1:2" x14ac:dyDescent="0.35">
      <c r="B141" s="6"/>
    </row>
    <row r="142" spans="1:2" x14ac:dyDescent="0.35">
      <c r="B142" s="6"/>
    </row>
    <row r="143" spans="1:2" x14ac:dyDescent="0.35">
      <c r="B143" s="6"/>
    </row>
    <row r="144" spans="1:2" x14ac:dyDescent="0.35">
      <c r="B144" s="6"/>
    </row>
    <row r="145" spans="2:2" x14ac:dyDescent="0.35">
      <c r="B145" s="6"/>
    </row>
  </sheetData>
  <hyperlinks>
    <hyperlink ref="A1" location="Cover!A1" display="Main" xr:uid="{A0245FEA-BC47-4CB4-9CEA-5DEB09FA5E3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Wilburn</dc:creator>
  <cp:lastModifiedBy>Adrian Wilburn</cp:lastModifiedBy>
  <cp:lastPrinted>2023-06-12T01:00:17Z</cp:lastPrinted>
  <dcterms:created xsi:type="dcterms:W3CDTF">2022-11-22T22:31:31Z</dcterms:created>
  <dcterms:modified xsi:type="dcterms:W3CDTF">2023-06-27T08:26:24Z</dcterms:modified>
</cp:coreProperties>
</file>