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drian Wilburn\Desktop\Finance\DCFs\"/>
    </mc:Choice>
  </mc:AlternateContent>
  <xr:revisionPtr revIDLastSave="0" documentId="13_ncr:1_{04A974C4-0F68-4E37-8180-96021B93BAEC}" xr6:coauthVersionLast="47" xr6:coauthVersionMax="47" xr10:uidLastSave="{00000000-0000-0000-0000-000000000000}"/>
  <bookViews>
    <workbookView xWindow="-25710" yWindow="-1490" windowWidth="25820" windowHeight="28300" activeTab="1" xr2:uid="{FA19C3AB-EE51-4577-BDB2-3A4801394F8D}"/>
  </bookViews>
  <sheets>
    <sheet name="Cover" sheetId="2" r:id="rId1"/>
    <sheet name="Model" sheetId="1"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8" i="1" l="1"/>
  <c r="AA29" i="1"/>
  <c r="Z28" i="1"/>
  <c r="Z29" i="1"/>
  <c r="BB28" i="1"/>
  <c r="CI30" i="1"/>
  <c r="CI29" i="1"/>
  <c r="CI27" i="1"/>
  <c r="Y101" i="1"/>
  <c r="X101" i="1"/>
  <c r="W97" i="1"/>
  <c r="Y97" i="1"/>
  <c r="Y99" i="1" s="1"/>
  <c r="Y98" i="1"/>
  <c r="Y96" i="1"/>
  <c r="Y95" i="1"/>
  <c r="Y94" i="1"/>
  <c r="X92" i="1"/>
  <c r="Y92" i="1"/>
  <c r="Y91" i="1"/>
  <c r="Y90" i="1"/>
  <c r="X90" i="1"/>
  <c r="Y89" i="1"/>
  <c r="Y63" i="1"/>
  <c r="W87" i="1"/>
  <c r="V87" i="1"/>
  <c r="U87" i="1"/>
  <c r="T87" i="1"/>
  <c r="S87" i="1"/>
  <c r="Y85" i="1"/>
  <c r="X85" i="1"/>
  <c r="V85" i="1"/>
  <c r="U85" i="1"/>
  <c r="T85" i="1"/>
  <c r="V83" i="1"/>
  <c r="Y86" i="1"/>
  <c r="X86" i="1"/>
  <c r="W86" i="1"/>
  <c r="V86" i="1"/>
  <c r="U86" i="1"/>
  <c r="T86" i="1"/>
  <c r="Y87" i="1"/>
  <c r="X87" i="1"/>
  <c r="Y84" i="1"/>
  <c r="Y83" i="1"/>
  <c r="Y81" i="1"/>
  <c r="Y79" i="1"/>
  <c r="Y76" i="1"/>
  <c r="Y71" i="1"/>
  <c r="Y64" i="1"/>
  <c r="AM47" i="1"/>
  <c r="BZ25" i="1"/>
  <c r="CC27" i="1"/>
  <c r="CC26" i="1"/>
  <c r="CC25" i="1"/>
  <c r="CC24" i="1"/>
  <c r="CC23" i="1"/>
  <c r="BB44" i="1"/>
  <c r="BA44" i="1"/>
  <c r="BC44" i="1" s="1"/>
  <c r="BD44" i="1" s="1"/>
  <c r="BE44" i="1" s="1"/>
  <c r="BF44" i="1" s="1"/>
  <c r="BG44" i="1" s="1"/>
  <c r="BH44" i="1" s="1"/>
  <c r="BI44" i="1" s="1"/>
  <c r="BJ44" i="1" s="1"/>
  <c r="BK44" i="1" s="1"/>
  <c r="BL44" i="1" s="1"/>
  <c r="BM44" i="1" s="1"/>
  <c r="BN44" i="1" s="1"/>
  <c r="BO44" i="1" s="1"/>
  <c r="BP44" i="1" s="1"/>
  <c r="BQ44" i="1" s="1"/>
  <c r="BR44" i="1" s="1"/>
  <c r="BS44" i="1" s="1"/>
  <c r="AY44" i="1"/>
  <c r="D72" i="2"/>
  <c r="BB21" i="1"/>
  <c r="Y28" i="1"/>
  <c r="AA53" i="1"/>
  <c r="AA35" i="1" s="1"/>
  <c r="AA54" i="1"/>
  <c r="AA55" i="1"/>
  <c r="AA56" i="1"/>
  <c r="AA57" i="1"/>
  <c r="AA59" i="1"/>
  <c r="AA39" i="1"/>
  <c r="AA44" i="1"/>
  <c r="AF55" i="1"/>
  <c r="X63" i="1"/>
  <c r="Y51" i="1"/>
  <c r="Y52" i="1"/>
  <c r="AI14" i="1"/>
  <c r="AI13" i="1"/>
  <c r="AI12" i="1"/>
  <c r="Y49" i="1"/>
  <c r="Y59" i="1"/>
  <c r="Y58" i="1"/>
  <c r="Y57" i="1"/>
  <c r="Y56" i="1"/>
  <c r="Z56" i="1"/>
  <c r="X56" i="1"/>
  <c r="Y55" i="1"/>
  <c r="X55" i="1"/>
  <c r="Y54" i="1"/>
  <c r="Y53" i="1"/>
  <c r="Y50" i="1"/>
  <c r="Y48" i="1"/>
  <c r="Y47" i="1"/>
  <c r="Y46" i="1"/>
  <c r="X59" i="1"/>
  <c r="Z59" i="1"/>
  <c r="N46" i="1"/>
  <c r="M46" i="1"/>
  <c r="Y38" i="1"/>
  <c r="Y37" i="1"/>
  <c r="Y30" i="1"/>
  <c r="V20" i="3"/>
  <c r="K54" i="3"/>
  <c r="K53" i="3"/>
  <c r="U52" i="3"/>
  <c r="T52" i="3"/>
  <c r="S52" i="3"/>
  <c r="R52" i="3"/>
  <c r="Q52" i="3"/>
  <c r="P52" i="3"/>
  <c r="U50" i="3"/>
  <c r="T50" i="3"/>
  <c r="E50" i="3"/>
  <c r="U49" i="3"/>
  <c r="T49" i="3"/>
  <c r="S49" i="3"/>
  <c r="R49" i="3"/>
  <c r="Q49" i="3"/>
  <c r="P49" i="3"/>
  <c r="O49" i="3"/>
  <c r="U48" i="3"/>
  <c r="T48" i="3"/>
  <c r="S48" i="3"/>
  <c r="R48" i="3"/>
  <c r="Q48" i="3"/>
  <c r="P48" i="3"/>
  <c r="O48" i="3"/>
  <c r="N48" i="3"/>
  <c r="M48" i="3"/>
  <c r="L48" i="3"/>
  <c r="K48" i="3"/>
  <c r="J48" i="3"/>
  <c r="I48" i="3"/>
  <c r="H48" i="3"/>
  <c r="G48" i="3"/>
  <c r="F48" i="3"/>
  <c r="U47" i="3"/>
  <c r="T47" i="3"/>
  <c r="S47" i="3"/>
  <c r="R47" i="3"/>
  <c r="Q47" i="3"/>
  <c r="P47" i="3"/>
  <c r="O47" i="3"/>
  <c r="N47" i="3"/>
  <c r="M47" i="3"/>
  <c r="L47" i="3"/>
  <c r="Z44" i="3"/>
  <c r="AA44" i="3" s="1"/>
  <c r="AB44" i="3" s="1"/>
  <c r="AC44" i="3" s="1"/>
  <c r="AD44" i="3" s="1"/>
  <c r="AE44" i="3" s="1"/>
  <c r="AF44" i="3" s="1"/>
  <c r="AG44" i="3" s="1"/>
  <c r="AH44" i="3" s="1"/>
  <c r="AI44" i="3" s="1"/>
  <c r="AJ44" i="3" s="1"/>
  <c r="AK44" i="3" s="1"/>
  <c r="AL44" i="3" s="1"/>
  <c r="AM44" i="3" s="1"/>
  <c r="AN44" i="3" s="1"/>
  <c r="AO44" i="3" s="1"/>
  <c r="AP44" i="3" s="1"/>
  <c r="AQ44" i="3" s="1"/>
  <c r="AR44" i="3" s="1"/>
  <c r="Y44" i="3"/>
  <c r="X44" i="3"/>
  <c r="V44" i="3"/>
  <c r="AA43" i="3"/>
  <c r="AA42" i="3"/>
  <c r="AA41" i="3"/>
  <c r="AA59" i="3" s="1"/>
  <c r="Z41" i="3"/>
  <c r="Y41" i="3"/>
  <c r="X41" i="3"/>
  <c r="AA40" i="3"/>
  <c r="AC39" i="3"/>
  <c r="AD39" i="3" s="1"/>
  <c r="AE39" i="3" s="1"/>
  <c r="AF39" i="3" s="1"/>
  <c r="AG39" i="3" s="1"/>
  <c r="AH39" i="3" s="1"/>
  <c r="AI39" i="3" s="1"/>
  <c r="AJ39" i="3" s="1"/>
  <c r="AK39" i="3" s="1"/>
  <c r="AL39" i="3" s="1"/>
  <c r="AM39" i="3" s="1"/>
  <c r="AN39" i="3" s="1"/>
  <c r="AO39" i="3" s="1"/>
  <c r="AP39" i="3" s="1"/>
  <c r="AQ39" i="3" s="1"/>
  <c r="AR39" i="3" s="1"/>
  <c r="AA39" i="3"/>
  <c r="AB39" i="3" s="1"/>
  <c r="Z39" i="3"/>
  <c r="Y39" i="3"/>
  <c r="X39" i="3"/>
  <c r="AA38" i="3"/>
  <c r="AA58" i="3" s="1"/>
  <c r="AA37" i="3"/>
  <c r="W37" i="3"/>
  <c r="V37" i="3"/>
  <c r="U37" i="3"/>
  <c r="T37" i="3"/>
  <c r="S37" i="3"/>
  <c r="R37" i="3"/>
  <c r="Q37" i="3"/>
  <c r="P37" i="3"/>
  <c r="O37" i="3"/>
  <c r="N37" i="3"/>
  <c r="M37" i="3"/>
  <c r="L37" i="3"/>
  <c r="K37" i="3"/>
  <c r="J37" i="3"/>
  <c r="I37" i="3"/>
  <c r="H37" i="3"/>
  <c r="G37" i="3"/>
  <c r="F37" i="3"/>
  <c r="E37" i="3"/>
  <c r="D37" i="3"/>
  <c r="AA36" i="3"/>
  <c r="AA54" i="3" s="1"/>
  <c r="Z36" i="3"/>
  <c r="Y36" i="3"/>
  <c r="X36" i="3"/>
  <c r="AA35" i="3"/>
  <c r="AA53" i="3" s="1"/>
  <c r="Z35" i="3"/>
  <c r="Z37" i="3" s="1"/>
  <c r="Y35" i="3"/>
  <c r="X35" i="3"/>
  <c r="AA34" i="3"/>
  <c r="AA55" i="3" s="1"/>
  <c r="K34" i="3"/>
  <c r="K55" i="3" s="1"/>
  <c r="AA33" i="3"/>
  <c r="Y33" i="3"/>
  <c r="X33" i="3"/>
  <c r="W33" i="3"/>
  <c r="V33" i="3"/>
  <c r="AA32" i="3"/>
  <c r="Z32" i="3"/>
  <c r="Y32" i="3"/>
  <c r="X32" i="3"/>
  <c r="AA31" i="3"/>
  <c r="Z31" i="3"/>
  <c r="Z33" i="3" s="1"/>
  <c r="Y31" i="3"/>
  <c r="X31" i="3"/>
  <c r="AA30" i="3"/>
  <c r="Q30" i="3"/>
  <c r="H30" i="3"/>
  <c r="AA29" i="3"/>
  <c r="AA56" i="3" s="1"/>
  <c r="Z29" i="3"/>
  <c r="Z56" i="3" s="1"/>
  <c r="Y29" i="3"/>
  <c r="X29" i="3"/>
  <c r="X56" i="3" s="1"/>
  <c r="W29" i="3"/>
  <c r="W56" i="3" s="1"/>
  <c r="V29" i="3"/>
  <c r="N29" i="3"/>
  <c r="M29" i="3"/>
  <c r="M52" i="3" s="1"/>
  <c r="L29" i="3"/>
  <c r="L52" i="3" s="1"/>
  <c r="K29" i="3"/>
  <c r="J29" i="3"/>
  <c r="J52" i="3" s="1"/>
  <c r="I29" i="3"/>
  <c r="I52" i="3" s="1"/>
  <c r="H29" i="3"/>
  <c r="H52" i="3" s="1"/>
  <c r="G29" i="3"/>
  <c r="F29" i="3"/>
  <c r="F52" i="3" s="1"/>
  <c r="E29" i="3"/>
  <c r="E52" i="3" s="1"/>
  <c r="AY28" i="3"/>
  <c r="AA28" i="3"/>
  <c r="W28" i="3"/>
  <c r="U28" i="3"/>
  <c r="U51" i="3" s="1"/>
  <c r="T28" i="3"/>
  <c r="S28" i="3"/>
  <c r="Q28" i="3"/>
  <c r="O28" i="3"/>
  <c r="M28" i="3"/>
  <c r="H28" i="3"/>
  <c r="G28" i="3"/>
  <c r="E28" i="3"/>
  <c r="BB27" i="3"/>
  <c r="AY27" i="3"/>
  <c r="AA27" i="3"/>
  <c r="BB26" i="3"/>
  <c r="AY26" i="3"/>
  <c r="AB26" i="3"/>
  <c r="AB50" i="3" s="1"/>
  <c r="AA26" i="3"/>
  <c r="AA50" i="3" s="1"/>
  <c r="Z26" i="3"/>
  <c r="Y26" i="3"/>
  <c r="X26" i="3"/>
  <c r="X50" i="3" s="1"/>
  <c r="V26" i="3"/>
  <c r="R26" i="3"/>
  <c r="R28" i="3" s="1"/>
  <c r="Q26" i="3"/>
  <c r="P26" i="3"/>
  <c r="P50" i="3" s="1"/>
  <c r="O26" i="3"/>
  <c r="O50" i="3" s="1"/>
  <c r="N26" i="3"/>
  <c r="M26" i="3"/>
  <c r="L26" i="3"/>
  <c r="K26" i="3"/>
  <c r="K50" i="3" s="1"/>
  <c r="J26" i="3"/>
  <c r="I26" i="3"/>
  <c r="H26" i="3"/>
  <c r="G26" i="3"/>
  <c r="F26" i="3"/>
  <c r="F50" i="3" s="1"/>
  <c r="BB25" i="3"/>
  <c r="AY25" i="3"/>
  <c r="AC25" i="3"/>
  <c r="AC49" i="3" s="1"/>
  <c r="AB25" i="3"/>
  <c r="AB49" i="3" s="1"/>
  <c r="AA25" i="3"/>
  <c r="Z25" i="3"/>
  <c r="Y25" i="3"/>
  <c r="X25" i="3"/>
  <c r="X49" i="3" s="1"/>
  <c r="V25" i="3"/>
  <c r="BB24" i="3"/>
  <c r="AC24" i="3"/>
  <c r="AC48" i="3" s="1"/>
  <c r="AB24" i="3"/>
  <c r="AB48" i="3" s="1"/>
  <c r="AA24" i="3"/>
  <c r="Z24" i="3"/>
  <c r="Y24" i="3"/>
  <c r="X24" i="3"/>
  <c r="X48" i="3" s="1"/>
  <c r="V24" i="3"/>
  <c r="D24" i="3"/>
  <c r="E48" i="3" s="1"/>
  <c r="AA23" i="3"/>
  <c r="AA22" i="3"/>
  <c r="Y22" i="3"/>
  <c r="X22" i="3"/>
  <c r="W22" i="3"/>
  <c r="T22" i="3"/>
  <c r="S22" i="3"/>
  <c r="R22" i="3"/>
  <c r="Q22" i="3"/>
  <c r="P22" i="3"/>
  <c r="O22" i="3"/>
  <c r="N22" i="3"/>
  <c r="M22" i="3"/>
  <c r="AA21" i="3"/>
  <c r="Z21" i="3"/>
  <c r="Y21" i="3"/>
  <c r="X21" i="3"/>
  <c r="W21" i="3"/>
  <c r="V21" i="3"/>
  <c r="U21" i="3"/>
  <c r="U22" i="3" s="1"/>
  <c r="AA20" i="3"/>
  <c r="AA47" i="3" s="1"/>
  <c r="Z20" i="3"/>
  <c r="Y20" i="3"/>
  <c r="X20" i="3"/>
  <c r="BA16" i="3"/>
  <c r="AY16" i="3"/>
  <c r="BA14" i="3"/>
  <c r="AY14" i="3"/>
  <c r="BA13" i="3"/>
  <c r="AY13" i="3"/>
  <c r="BA12" i="3"/>
  <c r="AY12" i="3"/>
  <c r="BA11" i="3"/>
  <c r="AY11" i="3"/>
  <c r="BA10" i="3"/>
  <c r="AY10" i="3"/>
  <c r="BA9" i="3"/>
  <c r="AY9" i="3"/>
  <c r="AB2" i="3"/>
  <c r="AC2" i="3" s="1"/>
  <c r="AD2" i="3" s="1"/>
  <c r="AE2" i="3" s="1"/>
  <c r="AF2" i="3" s="1"/>
  <c r="AG2" i="3" s="1"/>
  <c r="AH2" i="3" s="1"/>
  <c r="AI2" i="3" s="1"/>
  <c r="AJ2" i="3" s="1"/>
  <c r="AK2" i="3" s="1"/>
  <c r="AL2" i="3" s="1"/>
  <c r="AM2" i="3" s="1"/>
  <c r="AN2" i="3" s="1"/>
  <c r="AO2" i="3" s="1"/>
  <c r="AP2" i="3" s="1"/>
  <c r="AQ2" i="3" s="1"/>
  <c r="AR2" i="3" s="1"/>
  <c r="G73" i="2"/>
  <c r="G72" i="2"/>
  <c r="F63" i="2"/>
  <c r="D63" i="2"/>
  <c r="F61" i="2"/>
  <c r="D61" i="2"/>
  <c r="F60" i="2"/>
  <c r="D60" i="2"/>
  <c r="F59" i="2"/>
  <c r="D59" i="2"/>
  <c r="F58" i="2"/>
  <c r="D58" i="2"/>
  <c r="F57" i="2"/>
  <c r="D57" i="2"/>
  <c r="F56" i="2"/>
  <c r="D56" i="2"/>
  <c r="G71" i="2"/>
  <c r="CB9" i="1"/>
  <c r="BZ13" i="1"/>
  <c r="AW54" i="1"/>
  <c r="AG53" i="1"/>
  <c r="AH53" i="1"/>
  <c r="AI53" i="1"/>
  <c r="AJ53" i="1"/>
  <c r="AK53" i="1"/>
  <c r="AL53" i="1"/>
  <c r="AM53" i="1"/>
  <c r="AN53" i="1"/>
  <c r="AO53" i="1"/>
  <c r="AP53" i="1"/>
  <c r="AQ53" i="1"/>
  <c r="AR53" i="1"/>
  <c r="AS53" i="1"/>
  <c r="AT53" i="1"/>
  <c r="AU53" i="1"/>
  <c r="AV53" i="1"/>
  <c r="AW53" i="1"/>
  <c r="AX53" i="1"/>
  <c r="AY53" i="1"/>
  <c r="AZ53" i="1"/>
  <c r="BA53" i="1"/>
  <c r="AF53" i="1"/>
  <c r="H53" i="1"/>
  <c r="I53" i="1"/>
  <c r="J53" i="1"/>
  <c r="K53" i="1"/>
  <c r="L53" i="1"/>
  <c r="M53" i="1"/>
  <c r="N53" i="1"/>
  <c r="O53" i="1"/>
  <c r="P53" i="1"/>
  <c r="Q53" i="1"/>
  <c r="R53" i="1"/>
  <c r="S53" i="1"/>
  <c r="T53" i="1"/>
  <c r="U53" i="1"/>
  <c r="V53" i="1"/>
  <c r="W53" i="1"/>
  <c r="X53" i="1"/>
  <c r="G53" i="1"/>
  <c r="BZ14" i="1"/>
  <c r="BC39" i="1"/>
  <c r="BD39" i="1" s="1"/>
  <c r="BE39" i="1" s="1"/>
  <c r="BF39" i="1" s="1"/>
  <c r="BG39" i="1" s="1"/>
  <c r="BH39" i="1" s="1"/>
  <c r="BI39" i="1" s="1"/>
  <c r="BJ39" i="1" s="1"/>
  <c r="BK39" i="1" s="1"/>
  <c r="BL39" i="1" s="1"/>
  <c r="BM39" i="1" s="1"/>
  <c r="BN39" i="1" s="1"/>
  <c r="BO39" i="1" s="1"/>
  <c r="BP39" i="1" s="1"/>
  <c r="BQ39" i="1" s="1"/>
  <c r="BR39" i="1" s="1"/>
  <c r="BS39" i="1" s="1"/>
  <c r="CB12" i="1"/>
  <c r="BZ16" i="1"/>
  <c r="CB16" i="1"/>
  <c r="H54" i="1"/>
  <c r="I54" i="1"/>
  <c r="J54" i="1"/>
  <c r="K54" i="1"/>
  <c r="L54" i="1"/>
  <c r="M54" i="1"/>
  <c r="N54" i="1"/>
  <c r="O54" i="1"/>
  <c r="P54" i="1"/>
  <c r="Q54" i="1"/>
  <c r="R54" i="1"/>
  <c r="S54" i="1"/>
  <c r="T54" i="1"/>
  <c r="U54" i="1"/>
  <c r="V54" i="1"/>
  <c r="W54" i="1"/>
  <c r="X54" i="1"/>
  <c r="G54" i="1"/>
  <c r="AF54" i="1"/>
  <c r="AI54" i="1"/>
  <c r="BA57" i="1"/>
  <c r="BZ9" i="1"/>
  <c r="AY47" i="1"/>
  <c r="CB14" i="1"/>
  <c r="CB13" i="1"/>
  <c r="BA54" i="1"/>
  <c r="BA58" i="1"/>
  <c r="AZ58" i="1"/>
  <c r="BA51" i="1"/>
  <c r="AZ56" i="1"/>
  <c r="X57" i="1"/>
  <c r="AX57" i="1"/>
  <c r="AY57" i="1"/>
  <c r="AZ57" i="1"/>
  <c r="AW57" i="1"/>
  <c r="AW56" i="1"/>
  <c r="AX56" i="1"/>
  <c r="AY56" i="1"/>
  <c r="BA56" i="1"/>
  <c r="AW55" i="1"/>
  <c r="AV55" i="1"/>
  <c r="AU55" i="1"/>
  <c r="AE55" i="1"/>
  <c r="AG54" i="1"/>
  <c r="AH54" i="1"/>
  <c r="AJ54" i="1"/>
  <c r="AK54" i="1"/>
  <c r="AL54" i="1"/>
  <c r="AM54" i="1"/>
  <c r="AN54" i="1"/>
  <c r="AO54" i="1"/>
  <c r="AP54" i="1"/>
  <c r="AQ54" i="1"/>
  <c r="AR54" i="1"/>
  <c r="AS54" i="1"/>
  <c r="AT54" i="1"/>
  <c r="AU54" i="1"/>
  <c r="AV54" i="1"/>
  <c r="AX54" i="1"/>
  <c r="AY54" i="1"/>
  <c r="AZ54" i="1"/>
  <c r="AG52" i="1"/>
  <c r="AH52" i="1"/>
  <c r="AI52" i="1"/>
  <c r="AJ52" i="1"/>
  <c r="AK52" i="1"/>
  <c r="AL52" i="1"/>
  <c r="AM52" i="1"/>
  <c r="AN52" i="1"/>
  <c r="AO52" i="1"/>
  <c r="AP52" i="1"/>
  <c r="AQ52" i="1"/>
  <c r="AR52" i="1"/>
  <c r="AS52" i="1"/>
  <c r="AT52" i="1"/>
  <c r="AU52" i="1"/>
  <c r="AV52" i="1"/>
  <c r="AW52" i="1"/>
  <c r="AX52" i="1"/>
  <c r="AY52" i="1"/>
  <c r="AZ52" i="1"/>
  <c r="BA52" i="1"/>
  <c r="AF52" i="1"/>
  <c r="AG51" i="1"/>
  <c r="AH51" i="1"/>
  <c r="AI51" i="1"/>
  <c r="AJ51" i="1"/>
  <c r="AK51" i="1"/>
  <c r="AL51" i="1"/>
  <c r="AM51" i="1"/>
  <c r="AN51" i="1"/>
  <c r="AO51" i="1"/>
  <c r="AP51" i="1"/>
  <c r="AQ51" i="1"/>
  <c r="AR51" i="1"/>
  <c r="AS51" i="1"/>
  <c r="AT51" i="1"/>
  <c r="AU51" i="1"/>
  <c r="AV51" i="1"/>
  <c r="AW51" i="1"/>
  <c r="AX51" i="1"/>
  <c r="AY51" i="1"/>
  <c r="AZ51" i="1"/>
  <c r="AF51" i="1"/>
  <c r="AF50" i="1"/>
  <c r="AG48" i="1"/>
  <c r="AH48" i="1"/>
  <c r="AI48" i="1"/>
  <c r="AJ48" i="1"/>
  <c r="AK48" i="1"/>
  <c r="AL48" i="1"/>
  <c r="AM48" i="1"/>
  <c r="AN48" i="1"/>
  <c r="AO48" i="1"/>
  <c r="AP48" i="1"/>
  <c r="AQ48" i="1"/>
  <c r="AR48" i="1"/>
  <c r="AS48" i="1"/>
  <c r="AT48" i="1"/>
  <c r="AU48" i="1"/>
  <c r="AV48" i="1"/>
  <c r="AW48" i="1"/>
  <c r="AX48" i="1"/>
  <c r="AY48" i="1"/>
  <c r="AZ48" i="1"/>
  <c r="BA48" i="1"/>
  <c r="AF48" i="1"/>
  <c r="AP49" i="1"/>
  <c r="AQ49" i="1"/>
  <c r="AR49" i="1"/>
  <c r="AS49" i="1"/>
  <c r="AT49" i="1"/>
  <c r="AU49" i="1"/>
  <c r="AV49" i="1"/>
  <c r="AW49" i="1"/>
  <c r="AX49" i="1"/>
  <c r="AY49" i="1"/>
  <c r="AZ49" i="1"/>
  <c r="BA49" i="1"/>
  <c r="AG50" i="1"/>
  <c r="AH50" i="1"/>
  <c r="AI50" i="1"/>
  <c r="AJ50" i="1"/>
  <c r="AK50" i="1"/>
  <c r="AL50" i="1"/>
  <c r="AM50" i="1"/>
  <c r="AN50" i="1"/>
  <c r="AO50" i="1"/>
  <c r="AP50" i="1"/>
  <c r="AQ50" i="1"/>
  <c r="AR50" i="1"/>
  <c r="AS50" i="1"/>
  <c r="AT50" i="1"/>
  <c r="AU50" i="1"/>
  <c r="AV50" i="1"/>
  <c r="AW50" i="1"/>
  <c r="AX50" i="1"/>
  <c r="AY50" i="1"/>
  <c r="AZ50" i="1"/>
  <c r="BA50" i="1"/>
  <c r="BA29" i="1"/>
  <c r="BA26" i="1"/>
  <c r="L50" i="1"/>
  <c r="AF58" i="1"/>
  <c r="AG58" i="1"/>
  <c r="AH58" i="1"/>
  <c r="AI58" i="1"/>
  <c r="AJ58" i="1"/>
  <c r="AK58" i="1"/>
  <c r="AL58" i="1"/>
  <c r="AM58" i="1"/>
  <c r="AN58" i="1"/>
  <c r="AO58" i="1"/>
  <c r="AP58" i="1"/>
  <c r="AQ58" i="1"/>
  <c r="AR58" i="1"/>
  <c r="AS58" i="1"/>
  <c r="AT58" i="1"/>
  <c r="AU58" i="1"/>
  <c r="AV58" i="1"/>
  <c r="AW58" i="1"/>
  <c r="AX58" i="1"/>
  <c r="AY58" i="1"/>
  <c r="AF59" i="1"/>
  <c r="AG59" i="1"/>
  <c r="AH59" i="1"/>
  <c r="AI59" i="1"/>
  <c r="AJ59" i="1"/>
  <c r="AK59" i="1"/>
  <c r="AL59" i="1"/>
  <c r="AM59" i="1"/>
  <c r="AN59" i="1"/>
  <c r="AO59" i="1"/>
  <c r="AP59" i="1"/>
  <c r="AQ59" i="1"/>
  <c r="AR59" i="1"/>
  <c r="AS59" i="1"/>
  <c r="AT59" i="1"/>
  <c r="AU59" i="1"/>
  <c r="AV59" i="1"/>
  <c r="AW59" i="1"/>
  <c r="AX59" i="1"/>
  <c r="AY59" i="1"/>
  <c r="AZ59" i="1"/>
  <c r="AE59" i="1"/>
  <c r="AE58" i="1"/>
  <c r="X58" i="1"/>
  <c r="BB22" i="1"/>
  <c r="BB23" i="1"/>
  <c r="BB27" i="1"/>
  <c r="BB39" i="1"/>
  <c r="Z57" i="1"/>
  <c r="X47" i="1"/>
  <c r="AI8" i="1"/>
  <c r="V22" i="1"/>
  <c r="G22" i="1"/>
  <c r="H22" i="1"/>
  <c r="I22" i="1"/>
  <c r="J22" i="1"/>
  <c r="AZ44" i="1"/>
  <c r="BA41" i="1"/>
  <c r="AZ41" i="1"/>
  <c r="AY41" i="1"/>
  <c r="BA39" i="1"/>
  <c r="AZ39" i="1"/>
  <c r="AY39" i="1"/>
  <c r="BA36" i="1"/>
  <c r="AZ36" i="1"/>
  <c r="AY36" i="1"/>
  <c r="BA35" i="1"/>
  <c r="AZ35" i="1"/>
  <c r="AY35" i="1"/>
  <c r="BA32" i="1"/>
  <c r="AZ32" i="1"/>
  <c r="AY32" i="1"/>
  <c r="BA31" i="1"/>
  <c r="AZ31" i="1"/>
  <c r="AZ33" i="1" s="1"/>
  <c r="AZ29" i="1"/>
  <c r="AY29" i="1"/>
  <c r="BA20" i="1"/>
  <c r="AZ20" i="1"/>
  <c r="AY20" i="1"/>
  <c r="BA24" i="1"/>
  <c r="AZ24" i="1"/>
  <c r="AY24" i="1"/>
  <c r="BA25" i="1"/>
  <c r="AY25" i="1"/>
  <c r="AY26" i="1"/>
  <c r="AZ25" i="1"/>
  <c r="AZ26" i="1"/>
  <c r="AY21" i="1"/>
  <c r="AX33" i="1"/>
  <c r="AY31" i="1"/>
  <c r="AW33" i="1"/>
  <c r="AV47" i="1"/>
  <c r="AU47" i="1"/>
  <c r="AT47" i="1"/>
  <c r="AS47" i="1"/>
  <c r="AR47" i="1"/>
  <c r="AQ47" i="1"/>
  <c r="AP47" i="1"/>
  <c r="AO47" i="1"/>
  <c r="AN47" i="1"/>
  <c r="AW44" i="1"/>
  <c r="AX37" i="1"/>
  <c r="AW37" i="1"/>
  <c r="AV37" i="1"/>
  <c r="AU37" i="1"/>
  <c r="AT37" i="1"/>
  <c r="AS37" i="1"/>
  <c r="AR37" i="1"/>
  <c r="AQ37" i="1"/>
  <c r="AP37" i="1"/>
  <c r="AO37" i="1"/>
  <c r="AN37" i="1"/>
  <c r="AM37" i="1"/>
  <c r="AL37" i="1"/>
  <c r="AK37" i="1"/>
  <c r="AJ37" i="1"/>
  <c r="AI37" i="1"/>
  <c r="AH37" i="1"/>
  <c r="AG37" i="1"/>
  <c r="AF37" i="1"/>
  <c r="AE37" i="1"/>
  <c r="AO29" i="1"/>
  <c r="AN29" i="1"/>
  <c r="AM29" i="1"/>
  <c r="AL29" i="1"/>
  <c r="AK29" i="1"/>
  <c r="AJ29" i="1"/>
  <c r="AI29" i="1"/>
  <c r="AH29" i="1"/>
  <c r="AG29" i="1"/>
  <c r="AF29" i="1"/>
  <c r="AX28" i="1"/>
  <c r="AV28" i="1"/>
  <c r="AU28" i="1"/>
  <c r="AT28" i="1"/>
  <c r="AF28" i="1"/>
  <c r="AS26" i="1"/>
  <c r="AS28" i="1" s="1"/>
  <c r="AR26" i="1"/>
  <c r="AR28" i="1" s="1"/>
  <c r="AR30" i="1" s="1"/>
  <c r="AQ26" i="1"/>
  <c r="AQ28" i="1" s="1"/>
  <c r="AP26" i="1"/>
  <c r="AP28" i="1" s="1"/>
  <c r="AP30" i="1" s="1"/>
  <c r="AO26" i="1"/>
  <c r="AO28" i="1" s="1"/>
  <c r="AN26" i="1"/>
  <c r="AN28" i="1" s="1"/>
  <c r="AM26" i="1"/>
  <c r="AM28" i="1" s="1"/>
  <c r="AL26" i="1"/>
  <c r="AL28" i="1" s="1"/>
  <c r="AK26" i="1"/>
  <c r="AK28" i="1" s="1"/>
  <c r="AJ26" i="1"/>
  <c r="AJ28" i="1" s="1"/>
  <c r="AI26" i="1"/>
  <c r="AI28" i="1" s="1"/>
  <c r="AH26" i="1"/>
  <c r="AH28" i="1" s="1"/>
  <c r="AG26" i="1"/>
  <c r="AG28" i="1" s="1"/>
  <c r="AE24" i="1"/>
  <c r="AE28" i="1" s="1"/>
  <c r="AU22" i="1"/>
  <c r="AT22" i="1"/>
  <c r="AS22" i="1"/>
  <c r="AR22" i="1"/>
  <c r="AQ22" i="1"/>
  <c r="AP22" i="1"/>
  <c r="AO22" i="1"/>
  <c r="AN22" i="1"/>
  <c r="AZ21" i="1"/>
  <c r="AX21" i="1"/>
  <c r="AX22" i="1" s="1"/>
  <c r="BC2" i="1"/>
  <c r="BD2" i="1" s="1"/>
  <c r="BE2" i="1" s="1"/>
  <c r="BF2" i="1" s="1"/>
  <c r="BG2" i="1" s="1"/>
  <c r="BH2" i="1" s="1"/>
  <c r="BI2" i="1" s="1"/>
  <c r="BJ2" i="1" s="1"/>
  <c r="BK2" i="1" s="1"/>
  <c r="BL2" i="1" s="1"/>
  <c r="BM2" i="1" s="1"/>
  <c r="BN2" i="1" s="1"/>
  <c r="BO2" i="1" s="1"/>
  <c r="BP2" i="1" s="1"/>
  <c r="BQ2" i="1" s="1"/>
  <c r="BR2" i="1" s="1"/>
  <c r="BS2" i="1" s="1"/>
  <c r="Z44" i="1"/>
  <c r="Z39" i="1"/>
  <c r="X37" i="1"/>
  <c r="X30" i="1"/>
  <c r="H50" i="1"/>
  <c r="I50" i="1"/>
  <c r="K50" i="1"/>
  <c r="M50" i="1"/>
  <c r="O50" i="1"/>
  <c r="P50" i="1"/>
  <c r="Q50" i="1"/>
  <c r="R50" i="1"/>
  <c r="S50" i="1"/>
  <c r="T50" i="1"/>
  <c r="U50" i="1"/>
  <c r="V50" i="1"/>
  <c r="W50" i="1"/>
  <c r="X50" i="1"/>
  <c r="G50" i="1"/>
  <c r="H49" i="1"/>
  <c r="I49" i="1"/>
  <c r="K49" i="1"/>
  <c r="L49" i="1"/>
  <c r="M49" i="1"/>
  <c r="O49" i="1"/>
  <c r="P49" i="1"/>
  <c r="Q49" i="1"/>
  <c r="R49" i="1"/>
  <c r="S49" i="1"/>
  <c r="T49" i="1"/>
  <c r="U49" i="1"/>
  <c r="V49" i="1"/>
  <c r="W49" i="1"/>
  <c r="X49" i="1"/>
  <c r="G49" i="1"/>
  <c r="H48" i="1"/>
  <c r="I48" i="1"/>
  <c r="K48" i="1"/>
  <c r="L48" i="1"/>
  <c r="M48" i="1"/>
  <c r="O48" i="1"/>
  <c r="P48" i="1"/>
  <c r="Q48" i="1"/>
  <c r="R48" i="1"/>
  <c r="S48" i="1"/>
  <c r="T48" i="1"/>
  <c r="U48" i="1"/>
  <c r="V48" i="1"/>
  <c r="W48" i="1"/>
  <c r="X48" i="1"/>
  <c r="G48" i="1"/>
  <c r="H52" i="1"/>
  <c r="I52" i="1"/>
  <c r="K52" i="1"/>
  <c r="L52" i="1"/>
  <c r="M52" i="1"/>
  <c r="G52" i="1"/>
  <c r="O52" i="1"/>
  <c r="U98" i="1"/>
  <c r="U97" i="1"/>
  <c r="U77" i="1"/>
  <c r="U76" i="1"/>
  <c r="U73" i="1"/>
  <c r="T98" i="1"/>
  <c r="T97" i="1"/>
  <c r="T96" i="1"/>
  <c r="T95" i="1"/>
  <c r="U95" i="1" s="1"/>
  <c r="V95" i="1" s="1"/>
  <c r="T94" i="1"/>
  <c r="U94" i="1" s="1"/>
  <c r="T83" i="1"/>
  <c r="T82" i="1"/>
  <c r="V82" i="1" s="1"/>
  <c r="T84" i="1"/>
  <c r="U84" i="1" s="1"/>
  <c r="V84" i="1" s="1"/>
  <c r="X84" i="1"/>
  <c r="U64" i="1"/>
  <c r="U71" i="1" s="1"/>
  <c r="T76" i="1"/>
  <c r="T79" i="1" s="1"/>
  <c r="S65" i="1"/>
  <c r="S76" i="1"/>
  <c r="S79" i="1" s="1"/>
  <c r="S97" i="1"/>
  <c r="S99" i="1" s="1"/>
  <c r="V76" i="1"/>
  <c r="V79" i="1" s="1"/>
  <c r="W89" i="1"/>
  <c r="X89" i="1" s="1"/>
  <c r="V91" i="1"/>
  <c r="T91" i="1"/>
  <c r="U91" i="1" s="1"/>
  <c r="T90" i="1"/>
  <c r="U90" i="1" s="1"/>
  <c r="V90" i="1" s="1"/>
  <c r="S89" i="1"/>
  <c r="S92" i="1" s="1"/>
  <c r="S86" i="1"/>
  <c r="O86" i="1"/>
  <c r="P86" i="1" s="1"/>
  <c r="Q86" i="1" s="1"/>
  <c r="R86" i="1" s="1"/>
  <c r="D86" i="1"/>
  <c r="E86" i="1" s="1"/>
  <c r="F86" i="1" s="1"/>
  <c r="G86" i="1"/>
  <c r="H86" i="1" s="1"/>
  <c r="I86" i="1" s="1"/>
  <c r="J86" i="1" s="1"/>
  <c r="K86" i="1"/>
  <c r="L86" i="1" s="1"/>
  <c r="M86" i="1" s="1"/>
  <c r="N86" i="1" s="1"/>
  <c r="J18" i="1"/>
  <c r="J17" i="1"/>
  <c r="J16" i="1"/>
  <c r="J15" i="1"/>
  <c r="J14" i="1"/>
  <c r="C78" i="1"/>
  <c r="C75" i="1"/>
  <c r="C74" i="1"/>
  <c r="C64" i="1"/>
  <c r="C71" i="1" s="1"/>
  <c r="D64" i="1"/>
  <c r="D71" i="1" s="1"/>
  <c r="E64" i="1"/>
  <c r="E71" i="1" s="1"/>
  <c r="G64" i="1"/>
  <c r="G71" i="1" s="1"/>
  <c r="F64" i="1"/>
  <c r="F71" i="1" s="1"/>
  <c r="H64" i="1"/>
  <c r="H71" i="1" s="1"/>
  <c r="X64" i="1"/>
  <c r="X71" i="1" s="1"/>
  <c r="K64" i="1"/>
  <c r="K71" i="1" s="1"/>
  <c r="I64" i="1"/>
  <c r="I71" i="1" s="1"/>
  <c r="J64" i="1"/>
  <c r="J71" i="1" s="1"/>
  <c r="L64" i="1"/>
  <c r="L71" i="1" s="1"/>
  <c r="M64" i="1"/>
  <c r="M71" i="1" s="1"/>
  <c r="O64" i="1"/>
  <c r="O71" i="1" s="1"/>
  <c r="P64" i="1"/>
  <c r="P71" i="1" s="1"/>
  <c r="N64" i="1"/>
  <c r="N71" i="1" s="1"/>
  <c r="Q64" i="1"/>
  <c r="Q71" i="1" s="1"/>
  <c r="R64" i="1"/>
  <c r="R71" i="1" s="1"/>
  <c r="S64" i="1"/>
  <c r="T64" i="1"/>
  <c r="T71" i="1" s="1"/>
  <c r="J44" i="1"/>
  <c r="J41" i="1"/>
  <c r="J39" i="1"/>
  <c r="J36" i="1"/>
  <c r="J35" i="1"/>
  <c r="G44" i="1"/>
  <c r="G37" i="1"/>
  <c r="J32" i="1"/>
  <c r="J31" i="1"/>
  <c r="J29" i="1"/>
  <c r="N52" i="1" s="1"/>
  <c r="J26" i="1"/>
  <c r="N50" i="1" s="1"/>
  <c r="J25" i="1"/>
  <c r="N49" i="1" s="1"/>
  <c r="J24" i="1"/>
  <c r="N48" i="1" s="1"/>
  <c r="J20" i="1"/>
  <c r="N47" i="1" s="1"/>
  <c r="G28" i="1"/>
  <c r="G57" i="1" s="1"/>
  <c r="G33" i="1"/>
  <c r="F18" i="1"/>
  <c r="F17" i="1"/>
  <c r="F16" i="1"/>
  <c r="F15" i="1"/>
  <c r="F14" i="1"/>
  <c r="E33" i="1"/>
  <c r="H44" i="1"/>
  <c r="H33" i="1"/>
  <c r="H37" i="1"/>
  <c r="H28" i="1"/>
  <c r="H57" i="1" s="1"/>
  <c r="I28" i="1"/>
  <c r="I57" i="1" s="1"/>
  <c r="D56" i="1"/>
  <c r="E56" i="1"/>
  <c r="G56" i="1"/>
  <c r="H56" i="1"/>
  <c r="I56" i="1"/>
  <c r="K56" i="1"/>
  <c r="H47" i="1"/>
  <c r="I47" i="1"/>
  <c r="K47" i="1"/>
  <c r="L47" i="1"/>
  <c r="M47" i="1"/>
  <c r="G47" i="1"/>
  <c r="O47" i="1"/>
  <c r="I44" i="1"/>
  <c r="E44" i="1"/>
  <c r="I37" i="1"/>
  <c r="F35" i="1"/>
  <c r="I33" i="1"/>
  <c r="K33" i="1"/>
  <c r="K28" i="1"/>
  <c r="K57" i="1" s="1"/>
  <c r="Z26" i="1" l="1"/>
  <c r="Z50" i="1" s="1"/>
  <c r="Z20" i="1"/>
  <c r="Z47" i="1" s="1"/>
  <c r="G74" i="2"/>
  <c r="Z25" i="1"/>
  <c r="Z49" i="1" s="1"/>
  <c r="Z24" i="1"/>
  <c r="Z51" i="1"/>
  <c r="Z30" i="1"/>
  <c r="BB29" i="1"/>
  <c r="Z52" i="1"/>
  <c r="Z32" i="1"/>
  <c r="BB32" i="1" s="1"/>
  <c r="BB56" i="1" s="1"/>
  <c r="Z31" i="1"/>
  <c r="BB24" i="1"/>
  <c r="BC24" i="1" s="1"/>
  <c r="BB51" i="1"/>
  <c r="BB20" i="1"/>
  <c r="R51" i="3"/>
  <c r="R30" i="3"/>
  <c r="M30" i="3"/>
  <c r="Y56" i="3"/>
  <c r="Y52" i="3"/>
  <c r="H54" i="3"/>
  <c r="H53" i="3"/>
  <c r="Q50" i="3"/>
  <c r="O51" i="3"/>
  <c r="O30" i="3"/>
  <c r="G52" i="3"/>
  <c r="Q54" i="3"/>
  <c r="Q34" i="3"/>
  <c r="Q53" i="3"/>
  <c r="G50" i="3"/>
  <c r="W50" i="3"/>
  <c r="V50" i="3"/>
  <c r="Q51" i="3"/>
  <c r="W49" i="3"/>
  <c r="V49" i="3"/>
  <c r="P28" i="3"/>
  <c r="V28" i="3"/>
  <c r="W51" i="3" s="1"/>
  <c r="W47" i="3"/>
  <c r="V47" i="3"/>
  <c r="Y48" i="3"/>
  <c r="Y49" i="3"/>
  <c r="H50" i="3"/>
  <c r="U30" i="3"/>
  <c r="H34" i="3"/>
  <c r="S50" i="3"/>
  <c r="R50" i="3"/>
  <c r="X47" i="3"/>
  <c r="X28" i="3"/>
  <c r="Z48" i="3"/>
  <c r="Z49" i="3"/>
  <c r="I50" i="3"/>
  <c r="Y50" i="3"/>
  <c r="D28" i="3"/>
  <c r="D30" i="3" s="1"/>
  <c r="S51" i="3"/>
  <c r="S30" i="3"/>
  <c r="K52" i="3"/>
  <c r="W48" i="3"/>
  <c r="V48" i="3"/>
  <c r="Y47" i="3"/>
  <c r="Y28" i="3"/>
  <c r="V22" i="3"/>
  <c r="AA48" i="3"/>
  <c r="AA49" i="3"/>
  <c r="J28" i="3"/>
  <c r="J50" i="3"/>
  <c r="Z50" i="3"/>
  <c r="E51" i="3"/>
  <c r="T51" i="3"/>
  <c r="T30" i="3"/>
  <c r="Z47" i="3"/>
  <c r="Z28" i="3"/>
  <c r="F28" i="3"/>
  <c r="G51" i="3" s="1"/>
  <c r="X37" i="3"/>
  <c r="G30" i="3"/>
  <c r="O52" i="3"/>
  <c r="N52" i="3"/>
  <c r="L50" i="3"/>
  <c r="L28" i="3"/>
  <c r="M51" i="3" s="1"/>
  <c r="M50" i="3"/>
  <c r="AC26" i="3"/>
  <c r="AA57" i="3"/>
  <c r="Z22" i="3"/>
  <c r="N28" i="3"/>
  <c r="N50" i="3"/>
  <c r="I28" i="3"/>
  <c r="W57" i="3"/>
  <c r="W30" i="3"/>
  <c r="AB20" i="3"/>
  <c r="AD24" i="3"/>
  <c r="AD25" i="3"/>
  <c r="H51" i="3"/>
  <c r="V56" i="3"/>
  <c r="V52" i="3"/>
  <c r="K28" i="3"/>
  <c r="K51" i="3" s="1"/>
  <c r="E30" i="3"/>
  <c r="Y37" i="3"/>
  <c r="AB29" i="3"/>
  <c r="K38" i="3"/>
  <c r="W52" i="3"/>
  <c r="X52" i="3"/>
  <c r="Z52" i="3"/>
  <c r="AA52" i="3"/>
  <c r="BZ10" i="1"/>
  <c r="CB10" i="1"/>
  <c r="BZ12" i="1"/>
  <c r="Y33" i="1"/>
  <c r="AZ22" i="1"/>
  <c r="AY28" i="1"/>
  <c r="BA47" i="1"/>
  <c r="J37" i="1"/>
  <c r="BA28" i="1"/>
  <c r="BA30" i="1" s="1"/>
  <c r="AZ28" i="1"/>
  <c r="AX29" i="1"/>
  <c r="AO30" i="1"/>
  <c r="AP46" i="1" s="1"/>
  <c r="AF30" i="1"/>
  <c r="AF34" i="1" s="1"/>
  <c r="BA33" i="1"/>
  <c r="AY37" i="1"/>
  <c r="BA37" i="1"/>
  <c r="AY30" i="1"/>
  <c r="AZ37" i="1"/>
  <c r="AZ47" i="1"/>
  <c r="AY22" i="1"/>
  <c r="AY33" i="1"/>
  <c r="AR34" i="1"/>
  <c r="AR55" i="1" s="1"/>
  <c r="AQ30" i="1"/>
  <c r="AP34" i="1"/>
  <c r="AP55" i="1" s="1"/>
  <c r="AH30" i="1"/>
  <c r="AI30" i="1"/>
  <c r="AJ30" i="1"/>
  <c r="AE30" i="1"/>
  <c r="AM30" i="1"/>
  <c r="AN30" i="1"/>
  <c r="AG30" i="1"/>
  <c r="AS30" i="1"/>
  <c r="AT30" i="1"/>
  <c r="AU30" i="1"/>
  <c r="AV30" i="1"/>
  <c r="AK30" i="1"/>
  <c r="Z53" i="1"/>
  <c r="Z35" i="1" s="1"/>
  <c r="BB35" i="1" s="1"/>
  <c r="U79" i="1"/>
  <c r="V98" i="1"/>
  <c r="V97" i="1"/>
  <c r="J33" i="1"/>
  <c r="C79" i="1"/>
  <c r="J28" i="1"/>
  <c r="J57" i="1" s="1"/>
  <c r="I30" i="1"/>
  <c r="I34" i="1" s="1"/>
  <c r="S71" i="1"/>
  <c r="T99" i="1"/>
  <c r="K51" i="1"/>
  <c r="S101" i="1"/>
  <c r="U83" i="1"/>
  <c r="V94" i="1"/>
  <c r="S63" i="1"/>
  <c r="H30" i="1"/>
  <c r="T89" i="1"/>
  <c r="U89" i="1" s="1"/>
  <c r="V89" i="1" s="1"/>
  <c r="V92" i="1" s="1"/>
  <c r="T63" i="1"/>
  <c r="U96" i="1"/>
  <c r="V96" i="1" s="1"/>
  <c r="G30" i="1"/>
  <c r="G34" i="1" s="1"/>
  <c r="W92" i="1"/>
  <c r="U63" i="1"/>
  <c r="J56" i="1"/>
  <c r="AA51" i="1" l="1"/>
  <c r="AA32" i="1"/>
  <c r="AA52" i="1"/>
  <c r="BB52" i="1"/>
  <c r="BC29" i="1"/>
  <c r="BC32" i="1" s="1"/>
  <c r="BC56" i="1" s="1"/>
  <c r="AA30" i="1"/>
  <c r="AA36" i="1" s="1"/>
  <c r="AA37" i="1" s="1"/>
  <c r="BC20" i="1"/>
  <c r="BB47" i="1"/>
  <c r="AA24" i="1"/>
  <c r="AA48" i="1" s="1"/>
  <c r="AA25" i="1"/>
  <c r="AA49" i="1" s="1"/>
  <c r="Z46" i="1"/>
  <c r="BB30" i="1"/>
  <c r="AA20" i="1"/>
  <c r="AA47" i="1" s="1"/>
  <c r="AA31" i="1"/>
  <c r="Z33" i="1"/>
  <c r="BB25" i="1"/>
  <c r="Z48" i="1"/>
  <c r="BB31" i="1"/>
  <c r="BB57" i="1" s="1"/>
  <c r="BB26" i="1"/>
  <c r="BB48" i="1"/>
  <c r="BD29" i="1"/>
  <c r="BD52" i="1" s="1"/>
  <c r="K58" i="3"/>
  <c r="K40" i="3"/>
  <c r="H55" i="3"/>
  <c r="H38" i="3"/>
  <c r="E54" i="3"/>
  <c r="E34" i="3"/>
  <c r="E46" i="3"/>
  <c r="E53" i="3"/>
  <c r="I51" i="3"/>
  <c r="I30" i="3"/>
  <c r="S54" i="3"/>
  <c r="S46" i="3"/>
  <c r="S53" i="3"/>
  <c r="S34" i="3"/>
  <c r="U54" i="3"/>
  <c r="U34" i="3"/>
  <c r="U46" i="3"/>
  <c r="U53" i="3"/>
  <c r="AC50" i="3"/>
  <c r="AD26" i="3"/>
  <c r="J30" i="3"/>
  <c r="J51" i="3"/>
  <c r="N51" i="3"/>
  <c r="N30" i="3"/>
  <c r="G54" i="3"/>
  <c r="G53" i="3"/>
  <c r="G34" i="3"/>
  <c r="D34" i="3"/>
  <c r="D46" i="3"/>
  <c r="H46" i="3"/>
  <c r="Z57" i="3"/>
  <c r="Z51" i="3"/>
  <c r="Z30" i="3"/>
  <c r="AA51" i="3"/>
  <c r="Q38" i="3"/>
  <c r="Q55" i="3"/>
  <c r="Y57" i="3"/>
  <c r="Y51" i="3"/>
  <c r="Y30" i="3"/>
  <c r="V57" i="3"/>
  <c r="V51" i="3"/>
  <c r="V30" i="3"/>
  <c r="M53" i="3"/>
  <c r="M54" i="3"/>
  <c r="M34" i="3"/>
  <c r="X57" i="3"/>
  <c r="X51" i="3"/>
  <c r="X30" i="3"/>
  <c r="P51" i="3"/>
  <c r="P30" i="3"/>
  <c r="AD49" i="3"/>
  <c r="AE25" i="3"/>
  <c r="AB52" i="3"/>
  <c r="AB32" i="3"/>
  <c r="AB56" i="3" s="1"/>
  <c r="AC29" i="3"/>
  <c r="L51" i="3"/>
  <c r="L30" i="3"/>
  <c r="T54" i="3"/>
  <c r="T34" i="3"/>
  <c r="T46" i="3"/>
  <c r="T53" i="3"/>
  <c r="R54" i="3"/>
  <c r="R46" i="3"/>
  <c r="R53" i="3"/>
  <c r="R34" i="3"/>
  <c r="F30" i="3"/>
  <c r="F51" i="3"/>
  <c r="AD48" i="3"/>
  <c r="AE24" i="3"/>
  <c r="AB47" i="3"/>
  <c r="AB28" i="3"/>
  <c r="AC20" i="3"/>
  <c r="W34" i="3"/>
  <c r="W53" i="3"/>
  <c r="W54" i="3"/>
  <c r="O54" i="3"/>
  <c r="O34" i="3"/>
  <c r="O53" i="3"/>
  <c r="BZ11" i="1"/>
  <c r="CB11" i="1"/>
  <c r="BB33" i="1"/>
  <c r="Y34" i="1"/>
  <c r="AX30" i="1"/>
  <c r="AF46" i="1"/>
  <c r="AO34" i="1"/>
  <c r="AO55" i="1" s="1"/>
  <c r="BA34" i="1"/>
  <c r="BA55" i="1" s="1"/>
  <c r="AN34" i="1"/>
  <c r="AN55" i="1" s="1"/>
  <c r="AN46" i="1"/>
  <c r="AI34" i="1"/>
  <c r="AI55" i="1" s="1"/>
  <c r="AI46" i="1"/>
  <c r="AR38" i="1"/>
  <c r="AS46" i="1"/>
  <c r="AS34" i="1"/>
  <c r="AS55" i="1" s="1"/>
  <c r="AM46" i="1"/>
  <c r="AM34" i="1"/>
  <c r="AM55" i="1" s="1"/>
  <c r="AF38" i="1"/>
  <c r="AY34" i="1"/>
  <c r="AY55" i="1" s="1"/>
  <c r="AY46" i="1"/>
  <c r="AX34" i="1"/>
  <c r="AX55" i="1" s="1"/>
  <c r="AL34" i="1"/>
  <c r="AL55" i="1" s="1"/>
  <c r="AL46" i="1"/>
  <c r="AP38" i="1"/>
  <c r="AG34" i="1"/>
  <c r="AG55" i="1" s="1"/>
  <c r="AG46" i="1"/>
  <c r="AK34" i="1"/>
  <c r="AK55" i="1" s="1"/>
  <c r="AK46" i="1"/>
  <c r="AZ30" i="1"/>
  <c r="AE46" i="1"/>
  <c r="AE34" i="1"/>
  <c r="AQ46" i="1"/>
  <c r="AQ34" i="1"/>
  <c r="AQ55" i="1" s="1"/>
  <c r="AU34" i="1"/>
  <c r="AU46" i="1"/>
  <c r="AO46" i="1"/>
  <c r="AJ46" i="1"/>
  <c r="AJ34" i="1"/>
  <c r="AJ55" i="1" s="1"/>
  <c r="AH34" i="1"/>
  <c r="AH55" i="1" s="1"/>
  <c r="AH46" i="1"/>
  <c r="AV46" i="1"/>
  <c r="AV34" i="1"/>
  <c r="AT34" i="1"/>
  <c r="AT55" i="1" s="1"/>
  <c r="AT46" i="1"/>
  <c r="AO38" i="1"/>
  <c r="AR46" i="1"/>
  <c r="J30" i="1"/>
  <c r="J34" i="1" s="1"/>
  <c r="T92" i="1"/>
  <c r="T101" i="1" s="1"/>
  <c r="V99" i="1"/>
  <c r="V101" i="1" s="1"/>
  <c r="U92" i="1"/>
  <c r="G38" i="1"/>
  <c r="G55" i="1"/>
  <c r="U99" i="1"/>
  <c r="U101" i="1" s="1"/>
  <c r="H34" i="1"/>
  <c r="I38" i="1"/>
  <c r="I55" i="1"/>
  <c r="AA26" i="1" l="1"/>
  <c r="AA50" i="1" s="1"/>
  <c r="AA33" i="1"/>
  <c r="AA34" i="1" s="1"/>
  <c r="AA38" i="1" s="1"/>
  <c r="AA46" i="1"/>
  <c r="BC26" i="1"/>
  <c r="BB50" i="1"/>
  <c r="BC25" i="1"/>
  <c r="BC28" i="1" s="1"/>
  <c r="BC30" i="1" s="1"/>
  <c r="BC46" i="1" s="1"/>
  <c r="BB49" i="1"/>
  <c r="BC47" i="1"/>
  <c r="BD20" i="1"/>
  <c r="BC52" i="1"/>
  <c r="BD32" i="1"/>
  <c r="BD56" i="1" s="1"/>
  <c r="BE29" i="1"/>
  <c r="BE52" i="1" s="1"/>
  <c r="BD24" i="1"/>
  <c r="BC48" i="1"/>
  <c r="AE48" i="3"/>
  <c r="AF24" i="3"/>
  <c r="AC52" i="3"/>
  <c r="AD29" i="3"/>
  <c r="AC32" i="3"/>
  <c r="AC56" i="3" s="1"/>
  <c r="M55" i="3"/>
  <c r="M38" i="3"/>
  <c r="Z34" i="3"/>
  <c r="Z46" i="3"/>
  <c r="Z53" i="3"/>
  <c r="AA46" i="3"/>
  <c r="Z54" i="3"/>
  <c r="I54" i="3"/>
  <c r="I34" i="3"/>
  <c r="I46" i="3"/>
  <c r="I53" i="3"/>
  <c r="K46" i="3"/>
  <c r="J34" i="3"/>
  <c r="J46" i="3"/>
  <c r="J53" i="3"/>
  <c r="J54" i="3"/>
  <c r="AD50" i="3"/>
  <c r="AE26" i="3"/>
  <c r="L46" i="3"/>
  <c r="L53" i="3"/>
  <c r="L54" i="3"/>
  <c r="L34" i="3"/>
  <c r="V34" i="3"/>
  <c r="V46" i="3"/>
  <c r="V53" i="3"/>
  <c r="V54" i="3"/>
  <c r="N54" i="3"/>
  <c r="N34" i="3"/>
  <c r="N46" i="3"/>
  <c r="N53" i="3"/>
  <c r="AE49" i="3"/>
  <c r="AF25" i="3"/>
  <c r="E38" i="3"/>
  <c r="E55" i="3"/>
  <c r="O46" i="3"/>
  <c r="W46" i="3"/>
  <c r="D55" i="3"/>
  <c r="D38" i="3"/>
  <c r="O55" i="3"/>
  <c r="O38" i="3"/>
  <c r="W55" i="3"/>
  <c r="W38" i="3"/>
  <c r="P54" i="3"/>
  <c r="P34" i="3"/>
  <c r="P46" i="3"/>
  <c r="P53" i="3"/>
  <c r="Q46" i="3"/>
  <c r="Y34" i="3"/>
  <c r="Y46" i="3"/>
  <c r="Y53" i="3"/>
  <c r="Y54" i="3"/>
  <c r="G38" i="3"/>
  <c r="G55" i="3"/>
  <c r="U55" i="3"/>
  <c r="U38" i="3"/>
  <c r="H58" i="3"/>
  <c r="H40" i="3"/>
  <c r="AC47" i="3"/>
  <c r="AC28" i="3"/>
  <c r="AD20" i="3"/>
  <c r="Q40" i="3"/>
  <c r="Q58" i="3"/>
  <c r="M46" i="3"/>
  <c r="F54" i="3"/>
  <c r="F46" i="3"/>
  <c r="F53" i="3"/>
  <c r="F34" i="3"/>
  <c r="R38" i="3"/>
  <c r="R55" i="3"/>
  <c r="AB51" i="3"/>
  <c r="AB31" i="3"/>
  <c r="AB33" i="3" s="1"/>
  <c r="AB30" i="3"/>
  <c r="X46" i="3"/>
  <c r="X34" i="3"/>
  <c r="X53" i="3"/>
  <c r="X54" i="3"/>
  <c r="G46" i="3"/>
  <c r="S38" i="3"/>
  <c r="S55" i="3"/>
  <c r="K59" i="3"/>
  <c r="K42" i="3"/>
  <c r="K43" i="3" s="1"/>
  <c r="T55" i="3"/>
  <c r="T38" i="3"/>
  <c r="AM38" i="1"/>
  <c r="AG38" i="1"/>
  <c r="AT38" i="1"/>
  <c r="AR40" i="1"/>
  <c r="AV38" i="1"/>
  <c r="AL38" i="1"/>
  <c r="AE38" i="1"/>
  <c r="AX38" i="1"/>
  <c r="AI38" i="1"/>
  <c r="AO40" i="1"/>
  <c r="AQ38" i="1"/>
  <c r="AH38" i="1"/>
  <c r="AJ38" i="1"/>
  <c r="AN38" i="1"/>
  <c r="AU38" i="1"/>
  <c r="AS38" i="1"/>
  <c r="AZ34" i="1"/>
  <c r="AZ55" i="1" s="1"/>
  <c r="AZ46" i="1"/>
  <c r="AY38" i="1"/>
  <c r="AF40" i="1"/>
  <c r="BA46" i="1"/>
  <c r="AP40" i="1"/>
  <c r="AK38" i="1"/>
  <c r="BA38" i="1"/>
  <c r="J38" i="1"/>
  <c r="J55" i="1"/>
  <c r="H38" i="1"/>
  <c r="H55" i="1"/>
  <c r="G40" i="1"/>
  <c r="G58" i="1"/>
  <c r="I40" i="1"/>
  <c r="I58" i="1"/>
  <c r="BC49" i="1" l="1"/>
  <c r="AA40" i="1"/>
  <c r="AA41" i="1" s="1"/>
  <c r="AA42" i="1" s="1"/>
  <c r="AA43" i="1" s="1"/>
  <c r="AA58" i="1"/>
  <c r="BC31" i="1"/>
  <c r="BC57" i="1" s="1"/>
  <c r="BD47" i="1"/>
  <c r="BE20" i="1"/>
  <c r="BE47" i="1" s="1"/>
  <c r="BD25" i="1"/>
  <c r="BF29" i="1"/>
  <c r="BF52" i="1" s="1"/>
  <c r="BE32" i="1"/>
  <c r="BE56" i="1" s="1"/>
  <c r="BC36" i="1"/>
  <c r="BC54" i="1" s="1"/>
  <c r="BC51" i="1"/>
  <c r="BC50" i="1"/>
  <c r="BD26" i="1"/>
  <c r="BE24" i="1"/>
  <c r="BD48" i="1"/>
  <c r="W58" i="3"/>
  <c r="W40" i="3"/>
  <c r="N55" i="3"/>
  <c r="N38" i="3"/>
  <c r="Z55" i="3"/>
  <c r="Z38" i="3"/>
  <c r="D40" i="3"/>
  <c r="D58" i="3"/>
  <c r="M58" i="3"/>
  <c r="M40" i="3"/>
  <c r="J55" i="3"/>
  <c r="J38" i="3"/>
  <c r="AB36" i="3"/>
  <c r="AB54" i="3" s="1"/>
  <c r="AB34" i="3"/>
  <c r="AB46" i="3"/>
  <c r="AB35" i="3"/>
  <c r="Y55" i="3"/>
  <c r="Y38" i="3"/>
  <c r="AE50" i="3"/>
  <c r="AF26" i="3"/>
  <c r="O40" i="3"/>
  <c r="O58" i="3"/>
  <c r="V55" i="3"/>
  <c r="V38" i="3"/>
  <c r="AE29" i="3"/>
  <c r="AD32" i="3"/>
  <c r="AD56" i="3" s="1"/>
  <c r="AD52" i="3"/>
  <c r="G58" i="3"/>
  <c r="G40" i="3"/>
  <c r="L55" i="3"/>
  <c r="L38" i="3"/>
  <c r="AD47" i="3"/>
  <c r="AD28" i="3"/>
  <c r="AE20" i="3"/>
  <c r="H59" i="3"/>
  <c r="H42" i="3"/>
  <c r="H43" i="3" s="1"/>
  <c r="E40" i="3"/>
  <c r="E58" i="3"/>
  <c r="I55" i="3"/>
  <c r="I38" i="3"/>
  <c r="T58" i="3"/>
  <c r="T40" i="3"/>
  <c r="AC51" i="3"/>
  <c r="AC31" i="3"/>
  <c r="AC33" i="3" s="1"/>
  <c r="AC30" i="3"/>
  <c r="AF49" i="3"/>
  <c r="AG25" i="3"/>
  <c r="AF48" i="3"/>
  <c r="AG24" i="3"/>
  <c r="X55" i="3"/>
  <c r="X38" i="3"/>
  <c r="Q59" i="3"/>
  <c r="Q42" i="3"/>
  <c r="Q43" i="3" s="1"/>
  <c r="AB57" i="3"/>
  <c r="R58" i="3"/>
  <c r="R40" i="3"/>
  <c r="P55" i="3"/>
  <c r="P38" i="3"/>
  <c r="S58" i="3"/>
  <c r="S40" i="3"/>
  <c r="F38" i="3"/>
  <c r="F55" i="3"/>
  <c r="U58" i="3"/>
  <c r="U40" i="3"/>
  <c r="BF20" i="1"/>
  <c r="BF47" i="1" s="1"/>
  <c r="AY40" i="1"/>
  <c r="AM40" i="1"/>
  <c r="AQ40" i="1"/>
  <c r="AS40" i="1"/>
  <c r="AV40" i="1"/>
  <c r="AK40" i="1"/>
  <c r="AO42" i="1"/>
  <c r="AO43" i="1" s="1"/>
  <c r="AU40" i="1"/>
  <c r="AR42" i="1"/>
  <c r="AR43" i="1" s="1"/>
  <c r="AP42" i="1"/>
  <c r="AP43" i="1" s="1"/>
  <c r="AN40" i="1"/>
  <c r="AX40" i="1"/>
  <c r="AT40" i="1"/>
  <c r="AZ38" i="1"/>
  <c r="AI40" i="1"/>
  <c r="AJ40" i="1"/>
  <c r="AE40" i="1"/>
  <c r="AG40" i="1"/>
  <c r="BA40" i="1"/>
  <c r="BA59" i="1" s="1"/>
  <c r="AF42" i="1"/>
  <c r="AF43" i="1" s="1"/>
  <c r="AH40" i="1"/>
  <c r="AL40" i="1"/>
  <c r="J40" i="1"/>
  <c r="J58" i="1"/>
  <c r="G59" i="1"/>
  <c r="G42" i="1"/>
  <c r="H40" i="1"/>
  <c r="H58" i="1"/>
  <c r="I59" i="1"/>
  <c r="I42" i="1"/>
  <c r="BD28" i="1" l="1"/>
  <c r="BC33" i="1"/>
  <c r="BC34" i="1" s="1"/>
  <c r="BC55" i="1" s="1"/>
  <c r="BE25" i="1"/>
  <c r="BD49" i="1"/>
  <c r="BF32" i="1"/>
  <c r="BF56" i="1" s="1"/>
  <c r="BG29" i="1"/>
  <c r="BG52" i="1" s="1"/>
  <c r="BC35" i="1"/>
  <c r="BC37" i="1" s="1"/>
  <c r="BD31" i="1"/>
  <c r="BD57" i="1" s="1"/>
  <c r="BD30" i="1"/>
  <c r="BD46" i="1" s="1"/>
  <c r="BD51" i="1"/>
  <c r="BD50" i="1"/>
  <c r="BE26" i="1"/>
  <c r="BF24" i="1"/>
  <c r="BE48" i="1"/>
  <c r="M42" i="3"/>
  <c r="M43" i="3" s="1"/>
  <c r="M59" i="3"/>
  <c r="O42" i="3"/>
  <c r="O43" i="3" s="1"/>
  <c r="O59" i="3"/>
  <c r="V58" i="3"/>
  <c r="V40" i="3"/>
  <c r="AF50" i="3"/>
  <c r="AG26" i="3"/>
  <c r="J58" i="3"/>
  <c r="J40" i="3"/>
  <c r="R59" i="3"/>
  <c r="R42" i="3"/>
  <c r="R43" i="3" s="1"/>
  <c r="D59" i="3"/>
  <c r="D42" i="3"/>
  <c r="D43" i="3" s="1"/>
  <c r="AC36" i="3"/>
  <c r="AC54" i="3" s="1"/>
  <c r="AC34" i="3"/>
  <c r="AC46" i="3"/>
  <c r="AC35" i="3"/>
  <c r="T59" i="3"/>
  <c r="T42" i="3"/>
  <c r="T43" i="3" s="1"/>
  <c r="G59" i="3"/>
  <c r="G42" i="3"/>
  <c r="G43" i="3" s="1"/>
  <c r="Y58" i="3"/>
  <c r="Y40" i="3"/>
  <c r="Z40" i="3"/>
  <c r="Z58" i="3"/>
  <c r="AE47" i="3"/>
  <c r="AE28" i="3"/>
  <c r="AF20" i="3"/>
  <c r="U42" i="3"/>
  <c r="U43" i="3" s="1"/>
  <c r="U59" i="3"/>
  <c r="X58" i="3"/>
  <c r="X40" i="3"/>
  <c r="I58" i="3"/>
  <c r="I40" i="3"/>
  <c r="L58" i="3"/>
  <c r="L40" i="3"/>
  <c r="AB37" i="3"/>
  <c r="AB53" i="3"/>
  <c r="N40" i="3"/>
  <c r="N58" i="3"/>
  <c r="F58" i="3"/>
  <c r="F40" i="3"/>
  <c r="AG48" i="3"/>
  <c r="AH24" i="3"/>
  <c r="P40" i="3"/>
  <c r="P58" i="3"/>
  <c r="AD57" i="3"/>
  <c r="AD51" i="3"/>
  <c r="AD31" i="3"/>
  <c r="AD33" i="3" s="1"/>
  <c r="AD30" i="3"/>
  <c r="AC57" i="3"/>
  <c r="S59" i="3"/>
  <c r="S42" i="3"/>
  <c r="S43" i="3" s="1"/>
  <c r="E59" i="3"/>
  <c r="E42" i="3"/>
  <c r="E43" i="3" s="1"/>
  <c r="AB55" i="3"/>
  <c r="AB38" i="3"/>
  <c r="W59" i="3"/>
  <c r="W42" i="3"/>
  <c r="W43" i="3" s="1"/>
  <c r="AG49" i="3"/>
  <c r="AH25" i="3"/>
  <c r="AE32" i="3"/>
  <c r="AE56" i="3"/>
  <c r="AE52" i="3"/>
  <c r="AF29" i="3"/>
  <c r="BG20" i="1"/>
  <c r="BG47" i="1" s="1"/>
  <c r="AK42" i="1"/>
  <c r="AK43" i="1" s="1"/>
  <c r="AY42" i="1"/>
  <c r="AY43" i="1" s="1"/>
  <c r="AG42" i="1"/>
  <c r="AG43" i="1" s="1"/>
  <c r="AN42" i="1"/>
  <c r="AN43" i="1" s="1"/>
  <c r="AV42" i="1"/>
  <c r="AV43" i="1" s="1"/>
  <c r="AS42" i="1"/>
  <c r="AS43" i="1" s="1"/>
  <c r="AE42" i="1"/>
  <c r="AE43" i="1" s="1"/>
  <c r="AJ42" i="1"/>
  <c r="AJ43" i="1" s="1"/>
  <c r="AH42" i="1"/>
  <c r="AH43" i="1" s="1"/>
  <c r="AI42" i="1"/>
  <c r="AI43" i="1" s="1"/>
  <c r="AZ40" i="1"/>
  <c r="AU42" i="1"/>
  <c r="AU43" i="1" s="1"/>
  <c r="AQ42" i="1"/>
  <c r="AQ43" i="1" s="1"/>
  <c r="AL42" i="1"/>
  <c r="AL43" i="1" s="1"/>
  <c r="AM42" i="1"/>
  <c r="AM43" i="1" s="1"/>
  <c r="BA42" i="1"/>
  <c r="BA43" i="1" s="1"/>
  <c r="AT42" i="1"/>
  <c r="AT43" i="1" s="1"/>
  <c r="AX42" i="1"/>
  <c r="AX43" i="1" s="1"/>
  <c r="J42" i="1"/>
  <c r="J59" i="1"/>
  <c r="I43" i="1"/>
  <c r="I81" i="1"/>
  <c r="H59" i="1"/>
  <c r="H42" i="1"/>
  <c r="G43" i="1"/>
  <c r="G81" i="1"/>
  <c r="BF25" i="1" l="1"/>
  <c r="BE49" i="1"/>
  <c r="BC38" i="1"/>
  <c r="BC40" i="1" s="1"/>
  <c r="BD33" i="1"/>
  <c r="BC53" i="1"/>
  <c r="BH29" i="1"/>
  <c r="BH52" i="1" s="1"/>
  <c r="BG32" i="1"/>
  <c r="BG56" i="1" s="1"/>
  <c r="BD36" i="1"/>
  <c r="BD54" i="1" s="1"/>
  <c r="BD34" i="1"/>
  <c r="BD55" i="1" s="1"/>
  <c r="BD35" i="1"/>
  <c r="BD53" i="1" s="1"/>
  <c r="BF26" i="1"/>
  <c r="BE50" i="1"/>
  <c r="BE28" i="1"/>
  <c r="BG24" i="1"/>
  <c r="BF48" i="1"/>
  <c r="P59" i="3"/>
  <c r="P42" i="3"/>
  <c r="P43" i="3" s="1"/>
  <c r="J59" i="3"/>
  <c r="J42" i="3"/>
  <c r="J43" i="3" s="1"/>
  <c r="X42" i="3"/>
  <c r="X43" i="3" s="1"/>
  <c r="X59" i="3"/>
  <c r="AG50" i="3"/>
  <c r="AH26" i="3"/>
  <c r="I42" i="3"/>
  <c r="I43" i="3" s="1"/>
  <c r="I59" i="3"/>
  <c r="AC37" i="3"/>
  <c r="AC38" i="3" s="1"/>
  <c r="AC53" i="3"/>
  <c r="V59" i="3"/>
  <c r="V42" i="3"/>
  <c r="V43" i="3" s="1"/>
  <c r="AB40" i="3"/>
  <c r="AB58" i="3"/>
  <c r="AF47" i="3"/>
  <c r="AG20" i="3"/>
  <c r="AF28" i="3"/>
  <c r="AH48" i="3"/>
  <c r="AI24" i="3"/>
  <c r="AF32" i="3"/>
  <c r="AF56" i="3" s="1"/>
  <c r="AF52" i="3"/>
  <c r="AG29" i="3"/>
  <c r="N42" i="3"/>
  <c r="N43" i="3" s="1"/>
  <c r="N59" i="3"/>
  <c r="AE51" i="3"/>
  <c r="AE30" i="3"/>
  <c r="AE31" i="3"/>
  <c r="AE33" i="3" s="1"/>
  <c r="AC55" i="3"/>
  <c r="Y42" i="3"/>
  <c r="Y43" i="3" s="1"/>
  <c r="Y59" i="3"/>
  <c r="AD46" i="3"/>
  <c r="AD35" i="3"/>
  <c r="AD36" i="3"/>
  <c r="AD54" i="3" s="1"/>
  <c r="AD34" i="3"/>
  <c r="F59" i="3"/>
  <c r="F42" i="3"/>
  <c r="F43" i="3" s="1"/>
  <c r="AH49" i="3"/>
  <c r="AI25" i="3"/>
  <c r="L42" i="3"/>
  <c r="L43" i="3" s="1"/>
  <c r="L59" i="3"/>
  <c r="Z42" i="3"/>
  <c r="Z43" i="3" s="1"/>
  <c r="Z59" i="3"/>
  <c r="BH20" i="1"/>
  <c r="BH47" i="1" s="1"/>
  <c r="AZ42" i="1"/>
  <c r="AZ43" i="1" s="1"/>
  <c r="J81" i="1"/>
  <c r="J43" i="1"/>
  <c r="H43" i="1"/>
  <c r="H81" i="1"/>
  <c r="BG25" i="1" l="1"/>
  <c r="BF49" i="1"/>
  <c r="BC58" i="1"/>
  <c r="BH32" i="1"/>
  <c r="BH56" i="1" s="1"/>
  <c r="BI29" i="1"/>
  <c r="BI52" i="1" s="1"/>
  <c r="BD37" i="1"/>
  <c r="BD38" i="1" s="1"/>
  <c r="BD58" i="1" s="1"/>
  <c r="BE51" i="1"/>
  <c r="BE31" i="1"/>
  <c r="BE30" i="1"/>
  <c r="BG26" i="1"/>
  <c r="BF50" i="1"/>
  <c r="BF28" i="1"/>
  <c r="BH24" i="1"/>
  <c r="BG48" i="1"/>
  <c r="AC40" i="3"/>
  <c r="AC58" i="3"/>
  <c r="AH50" i="3"/>
  <c r="AI26" i="3"/>
  <c r="AG47" i="3"/>
  <c r="AG28" i="3"/>
  <c r="AH20" i="3"/>
  <c r="AI48" i="3"/>
  <c r="AJ24" i="3"/>
  <c r="AI49" i="3"/>
  <c r="AJ25" i="3"/>
  <c r="AF51" i="3"/>
  <c r="AF30" i="3"/>
  <c r="AF31" i="3"/>
  <c r="AF33" i="3" s="1"/>
  <c r="AE46" i="3"/>
  <c r="AE35" i="3"/>
  <c r="AE36" i="3"/>
  <c r="AE54" i="3" s="1"/>
  <c r="AE34" i="3"/>
  <c r="AD38" i="3"/>
  <c r="AD55" i="3"/>
  <c r="AB41" i="3"/>
  <c r="AB59" i="3" s="1"/>
  <c r="AE57" i="3"/>
  <c r="AD37" i="3"/>
  <c r="AD53" i="3"/>
  <c r="AG32" i="3"/>
  <c r="AG56" i="3"/>
  <c r="AG52" i="3"/>
  <c r="AH29" i="3"/>
  <c r="BJ29" i="1"/>
  <c r="BJ52" i="1" s="1"/>
  <c r="BI32" i="1"/>
  <c r="BI56" i="1" s="1"/>
  <c r="BC41" i="1"/>
  <c r="BC59" i="1" s="1"/>
  <c r="BI20" i="1"/>
  <c r="BI47" i="1" s="1"/>
  <c r="BH25" i="1" l="1"/>
  <c r="BG49" i="1"/>
  <c r="BD40" i="1"/>
  <c r="BD41" i="1" s="1"/>
  <c r="BD59" i="1" s="1"/>
  <c r="BG50" i="1"/>
  <c r="BH26" i="1"/>
  <c r="BE36" i="1"/>
  <c r="BE54" i="1" s="1"/>
  <c r="BE35" i="1"/>
  <c r="BE46" i="1"/>
  <c r="BH28" i="1"/>
  <c r="BH31" i="1" s="1"/>
  <c r="BF51" i="1"/>
  <c r="BF30" i="1"/>
  <c r="BF31" i="1"/>
  <c r="BE57" i="1"/>
  <c r="BE33" i="1"/>
  <c r="BE34" i="1" s="1"/>
  <c r="BE55" i="1" s="1"/>
  <c r="BG28" i="1"/>
  <c r="BI24" i="1"/>
  <c r="BH48" i="1"/>
  <c r="AJ49" i="3"/>
  <c r="AK25" i="3"/>
  <c r="AH28" i="3"/>
  <c r="AH47" i="3"/>
  <c r="AI20" i="3"/>
  <c r="AI50" i="3"/>
  <c r="AJ26" i="3"/>
  <c r="AB42" i="3"/>
  <c r="AB43" i="3" s="1"/>
  <c r="AD58" i="3"/>
  <c r="AD40" i="3"/>
  <c r="AI29" i="3"/>
  <c r="AH56" i="3"/>
  <c r="AH52" i="3"/>
  <c r="AH32" i="3"/>
  <c r="AJ48" i="3"/>
  <c r="AK24" i="3"/>
  <c r="AG51" i="3"/>
  <c r="AG30" i="3"/>
  <c r="AG31" i="3"/>
  <c r="AG33" i="3" s="1"/>
  <c r="AF57" i="3"/>
  <c r="AE38" i="3"/>
  <c r="AE55" i="3"/>
  <c r="AE53" i="3"/>
  <c r="AE37" i="3"/>
  <c r="AF34" i="3"/>
  <c r="AF46" i="3"/>
  <c r="AF35" i="3"/>
  <c r="AF36" i="3"/>
  <c r="AF54" i="3" s="1"/>
  <c r="AC41" i="3"/>
  <c r="AC59" i="3" s="1"/>
  <c r="BK29" i="1"/>
  <c r="BK52" i="1" s="1"/>
  <c r="BJ32" i="1"/>
  <c r="BJ56" i="1" s="1"/>
  <c r="BC42" i="1"/>
  <c r="BJ20" i="1"/>
  <c r="BJ47" i="1" s="1"/>
  <c r="BI25" i="1" l="1"/>
  <c r="BH49" i="1"/>
  <c r="BH30" i="1"/>
  <c r="BH36" i="1" s="1"/>
  <c r="BH54" i="1" s="1"/>
  <c r="BH51" i="1"/>
  <c r="BF36" i="1"/>
  <c r="BF54" i="1" s="1"/>
  <c r="BF35" i="1"/>
  <c r="BF46" i="1"/>
  <c r="BE53" i="1"/>
  <c r="BE37" i="1"/>
  <c r="BE38" i="1" s="1"/>
  <c r="BH50" i="1"/>
  <c r="BI26" i="1"/>
  <c r="BG30" i="1"/>
  <c r="BG31" i="1"/>
  <c r="BG33" i="1" s="1"/>
  <c r="BG51" i="1"/>
  <c r="BF33" i="1"/>
  <c r="BF34" i="1" s="1"/>
  <c r="BF55" i="1" s="1"/>
  <c r="BF57" i="1"/>
  <c r="BJ24" i="1"/>
  <c r="BI48" i="1"/>
  <c r="AE58" i="3"/>
  <c r="AE40" i="3"/>
  <c r="AI47" i="3"/>
  <c r="AJ20" i="3"/>
  <c r="AI28" i="3"/>
  <c r="AD41" i="3"/>
  <c r="AD59" i="3" s="1"/>
  <c r="AD42" i="3"/>
  <c r="AD43" i="3" s="1"/>
  <c r="AC42" i="3"/>
  <c r="AC43" i="3" s="1"/>
  <c r="AF53" i="3"/>
  <c r="AF37" i="3"/>
  <c r="AF38" i="3" s="1"/>
  <c r="AJ29" i="3"/>
  <c r="AI56" i="3"/>
  <c r="AI52" i="3"/>
  <c r="AI32" i="3"/>
  <c r="AG34" i="3"/>
  <c r="AG46" i="3"/>
  <c r="AG36" i="3"/>
  <c r="AG54" i="3" s="1"/>
  <c r="AG35" i="3"/>
  <c r="AG57" i="3"/>
  <c r="AH31" i="3"/>
  <c r="AH33" i="3" s="1"/>
  <c r="AH51" i="3"/>
  <c r="AH30" i="3"/>
  <c r="AJ50" i="3"/>
  <c r="AK26" i="3"/>
  <c r="AK49" i="3"/>
  <c r="AL25" i="3"/>
  <c r="AK48" i="3"/>
  <c r="AL24" i="3"/>
  <c r="AF55" i="3"/>
  <c r="BC43" i="1"/>
  <c r="BL29" i="1"/>
  <c r="BL52" i="1" s="1"/>
  <c r="BK32" i="1"/>
  <c r="BK56" i="1" s="1"/>
  <c r="BD42" i="1"/>
  <c r="BH33" i="1"/>
  <c r="BH57" i="1"/>
  <c r="BK20" i="1"/>
  <c r="BK47" i="1" s="1"/>
  <c r="BI28" i="1" l="1"/>
  <c r="BI51" i="1" s="1"/>
  <c r="BG34" i="1"/>
  <c r="BG55" i="1" s="1"/>
  <c r="BJ25" i="1"/>
  <c r="BI49" i="1"/>
  <c r="BH35" i="1"/>
  <c r="BH53" i="1" s="1"/>
  <c r="BH34" i="1"/>
  <c r="BH55" i="1" s="1"/>
  <c r="BE40" i="1"/>
  <c r="BE41" i="1" s="1"/>
  <c r="BE59" i="1" s="1"/>
  <c r="BE58" i="1"/>
  <c r="BG36" i="1"/>
  <c r="BG54" i="1" s="1"/>
  <c r="BG35" i="1"/>
  <c r="BG46" i="1"/>
  <c r="BF53" i="1"/>
  <c r="BF37" i="1"/>
  <c r="BF38" i="1" s="1"/>
  <c r="BH46" i="1"/>
  <c r="BI50" i="1"/>
  <c r="BJ26" i="1"/>
  <c r="BG57" i="1"/>
  <c r="BK24" i="1"/>
  <c r="BJ48" i="1"/>
  <c r="AF58" i="3"/>
  <c r="AF40" i="3"/>
  <c r="AH34" i="3"/>
  <c r="AH46" i="3"/>
  <c r="AH36" i="3"/>
  <c r="AH54" i="3" s="1"/>
  <c r="AH35" i="3"/>
  <c r="AI31" i="3"/>
  <c r="AI33" i="3" s="1"/>
  <c r="AI51" i="3"/>
  <c r="AI30" i="3"/>
  <c r="AJ47" i="3"/>
  <c r="AJ28" i="3"/>
  <c r="AK20" i="3"/>
  <c r="AL49" i="3"/>
  <c r="AM25" i="3"/>
  <c r="AG55" i="3"/>
  <c r="AG37" i="3"/>
  <c r="AG38" i="3" s="1"/>
  <c r="AG53" i="3"/>
  <c r="AE41" i="3"/>
  <c r="AE59" i="3" s="1"/>
  <c r="AJ56" i="3"/>
  <c r="AJ52" i="3"/>
  <c r="AK29" i="3"/>
  <c r="AJ32" i="3"/>
  <c r="AH57" i="3"/>
  <c r="AL48" i="3"/>
  <c r="AM24" i="3"/>
  <c r="AK50" i="3"/>
  <c r="AL26" i="3"/>
  <c r="BM29" i="1"/>
  <c r="BM52" i="1" s="1"/>
  <c r="BL32" i="1"/>
  <c r="BL56" i="1" s="1"/>
  <c r="BD43" i="1"/>
  <c r="BL20" i="1"/>
  <c r="BL47" i="1" s="1"/>
  <c r="BI31" i="1" l="1"/>
  <c r="BI33" i="1" s="1"/>
  <c r="BI30" i="1"/>
  <c r="BI36" i="1" s="1"/>
  <c r="BI54" i="1" s="1"/>
  <c r="BH37" i="1"/>
  <c r="BH38" i="1" s="1"/>
  <c r="BH58" i="1" s="1"/>
  <c r="BK25" i="1"/>
  <c r="BJ49" i="1"/>
  <c r="BE42" i="1"/>
  <c r="BF58" i="1"/>
  <c r="BF40" i="1"/>
  <c r="BF41" i="1" s="1"/>
  <c r="BF59" i="1" s="1"/>
  <c r="BJ50" i="1"/>
  <c r="BK26" i="1"/>
  <c r="BG53" i="1"/>
  <c r="BG37" i="1"/>
  <c r="BG38" i="1" s="1"/>
  <c r="BJ28" i="1"/>
  <c r="BL24" i="1"/>
  <c r="BK48" i="1"/>
  <c r="AG58" i="3"/>
  <c r="AG40" i="3"/>
  <c r="AJ51" i="3"/>
  <c r="AJ30" i="3"/>
  <c r="AJ31" i="3"/>
  <c r="AJ33" i="3" s="1"/>
  <c r="AI34" i="3"/>
  <c r="AI46" i="3"/>
  <c r="AI35" i="3"/>
  <c r="AI36" i="3"/>
  <c r="AI54" i="3" s="1"/>
  <c r="AH37" i="3"/>
  <c r="AH38" i="3" s="1"/>
  <c r="AH53" i="3"/>
  <c r="AE42" i="3"/>
  <c r="AE43" i="3" s="1"/>
  <c r="AL50" i="3"/>
  <c r="AM26" i="3"/>
  <c r="AK32" i="3"/>
  <c r="AK56" i="3"/>
  <c r="AK52" i="3"/>
  <c r="AL29" i="3"/>
  <c r="AM49" i="3"/>
  <c r="AN25" i="3"/>
  <c r="AH55" i="3"/>
  <c r="AI57" i="3"/>
  <c r="AM48" i="3"/>
  <c r="AN24" i="3"/>
  <c r="AF41" i="3"/>
  <c r="AF59" i="3" s="1"/>
  <c r="AF42" i="3"/>
  <c r="AF43" i="3" s="1"/>
  <c r="AK47" i="3"/>
  <c r="AK28" i="3"/>
  <c r="AL20" i="3"/>
  <c r="BN29" i="1"/>
  <c r="BN52" i="1" s="1"/>
  <c r="BM32" i="1"/>
  <c r="BM56" i="1" s="1"/>
  <c r="BM20" i="1"/>
  <c r="BM47" i="1" s="1"/>
  <c r="BI46" i="1" l="1"/>
  <c r="BI35" i="1"/>
  <c r="BI37" i="1" s="1"/>
  <c r="BI34" i="1"/>
  <c r="BI55" i="1" s="1"/>
  <c r="BI57" i="1"/>
  <c r="BL25" i="1"/>
  <c r="BK49" i="1"/>
  <c r="BH40" i="1"/>
  <c r="BH41" i="1" s="1"/>
  <c r="BH59" i="1" s="1"/>
  <c r="BE43" i="1"/>
  <c r="BI53" i="1"/>
  <c r="BF42" i="1"/>
  <c r="BF43" i="1" s="1"/>
  <c r="BJ31" i="1"/>
  <c r="BJ30" i="1"/>
  <c r="BJ51" i="1"/>
  <c r="BG40" i="1"/>
  <c r="BG41" i="1" s="1"/>
  <c r="BG59" i="1" s="1"/>
  <c r="BG58" i="1"/>
  <c r="BK28" i="1"/>
  <c r="BL26" i="1"/>
  <c r="BK50" i="1"/>
  <c r="BM24" i="1"/>
  <c r="BL48" i="1"/>
  <c r="AH58" i="3"/>
  <c r="AH40" i="3"/>
  <c r="AL32" i="3"/>
  <c r="AL56" i="3"/>
  <c r="AL52" i="3"/>
  <c r="AM29" i="3"/>
  <c r="AJ46" i="3"/>
  <c r="AJ35" i="3"/>
  <c r="AJ34" i="3"/>
  <c r="AJ36" i="3"/>
  <c r="AJ54" i="3" s="1"/>
  <c r="AL47" i="3"/>
  <c r="AL28" i="3"/>
  <c r="AM20" i="3"/>
  <c r="AN49" i="3"/>
  <c r="AO25" i="3"/>
  <c r="AK51" i="3"/>
  <c r="AK30" i="3"/>
  <c r="AK31" i="3"/>
  <c r="AK33" i="3" s="1"/>
  <c r="AM50" i="3"/>
  <c r="AN26" i="3"/>
  <c r="AJ57" i="3"/>
  <c r="AI37" i="3"/>
  <c r="AI38" i="3" s="1"/>
  <c r="AI53" i="3"/>
  <c r="AI55" i="3"/>
  <c r="AN48" i="3"/>
  <c r="AO24" i="3"/>
  <c r="AG41" i="3"/>
  <c r="AG59" i="3" s="1"/>
  <c r="BO29" i="1"/>
  <c r="BN32" i="1"/>
  <c r="BN56" i="1" s="1"/>
  <c r="BN20" i="1"/>
  <c r="BN47" i="1" s="1"/>
  <c r="BI38" i="1" l="1"/>
  <c r="BM25" i="1"/>
  <c r="BL49" i="1"/>
  <c r="BO52" i="1"/>
  <c r="BP29" i="1"/>
  <c r="BK31" i="1"/>
  <c r="BK51" i="1"/>
  <c r="BK30" i="1"/>
  <c r="BJ36" i="1"/>
  <c r="BJ54" i="1" s="1"/>
  <c r="BJ46" i="1"/>
  <c r="BJ35" i="1"/>
  <c r="BL50" i="1"/>
  <c r="BM26" i="1"/>
  <c r="BG42" i="1"/>
  <c r="BG43" i="1" s="1"/>
  <c r="BJ33" i="1"/>
  <c r="BJ34" i="1" s="1"/>
  <c r="BJ55" i="1" s="1"/>
  <c r="BJ57" i="1"/>
  <c r="BL28" i="1"/>
  <c r="BN24" i="1"/>
  <c r="BM48" i="1"/>
  <c r="AI58" i="3"/>
  <c r="AI40" i="3"/>
  <c r="AJ55" i="3"/>
  <c r="AK35" i="3"/>
  <c r="AK34" i="3"/>
  <c r="AK46" i="3"/>
  <c r="AK36" i="3"/>
  <c r="AK54" i="3" s="1"/>
  <c r="AG42" i="3"/>
  <c r="AG43" i="3" s="1"/>
  <c r="AL57" i="3"/>
  <c r="AL51" i="3"/>
  <c r="AL30" i="3"/>
  <c r="AL31" i="3"/>
  <c r="AL33" i="3" s="1"/>
  <c r="AN50" i="3"/>
  <c r="AO26" i="3"/>
  <c r="AO48" i="3"/>
  <c r="AP24" i="3"/>
  <c r="AO49" i="3"/>
  <c r="AP25" i="3"/>
  <c r="AH41" i="3"/>
  <c r="AH59" i="3" s="1"/>
  <c r="AH42" i="3"/>
  <c r="AH43" i="3" s="1"/>
  <c r="AJ37" i="3"/>
  <c r="AJ38" i="3" s="1"/>
  <c r="AJ53" i="3"/>
  <c r="AM32" i="3"/>
  <c r="AM56" i="3" s="1"/>
  <c r="AM52" i="3"/>
  <c r="AN29" i="3"/>
  <c r="AK57" i="3"/>
  <c r="AM47" i="3"/>
  <c r="AN20" i="3"/>
  <c r="AM28" i="3"/>
  <c r="BP52" i="1"/>
  <c r="BO32" i="1"/>
  <c r="BO56" i="1" s="1"/>
  <c r="BH42" i="1"/>
  <c r="BO20" i="1"/>
  <c r="BP20" i="1" s="1"/>
  <c r="BI40" i="1" l="1"/>
  <c r="BI41" i="1" s="1"/>
  <c r="BI59" i="1" s="1"/>
  <c r="BI58" i="1"/>
  <c r="BN25" i="1"/>
  <c r="BM49" i="1"/>
  <c r="BK36" i="1"/>
  <c r="BK54" i="1" s="1"/>
  <c r="BK35" i="1"/>
  <c r="BK46" i="1"/>
  <c r="BN26" i="1"/>
  <c r="BM50" i="1"/>
  <c r="BK57" i="1"/>
  <c r="BK33" i="1"/>
  <c r="BK34" i="1" s="1"/>
  <c r="BK55" i="1" s="1"/>
  <c r="BJ37" i="1"/>
  <c r="BJ38" i="1" s="1"/>
  <c r="BJ53" i="1"/>
  <c r="BL30" i="1"/>
  <c r="BL31" i="1"/>
  <c r="BL51" i="1"/>
  <c r="BM28" i="1"/>
  <c r="BO24" i="1"/>
  <c r="BP24" i="1" s="1"/>
  <c r="BN48" i="1"/>
  <c r="AJ58" i="3"/>
  <c r="AJ40" i="3"/>
  <c r="AL35" i="3"/>
  <c r="AL36" i="3"/>
  <c r="AL54" i="3" s="1"/>
  <c r="AL34" i="3"/>
  <c r="AL46" i="3"/>
  <c r="AK55" i="3"/>
  <c r="AP49" i="3"/>
  <c r="AQ25" i="3"/>
  <c r="AK53" i="3"/>
  <c r="AK37" i="3"/>
  <c r="AK38" i="3" s="1"/>
  <c r="AM51" i="3"/>
  <c r="AM30" i="3"/>
  <c r="AM31" i="3"/>
  <c r="AM33" i="3" s="1"/>
  <c r="AN52" i="3"/>
  <c r="AN32" i="3"/>
  <c r="AN56" i="3" s="1"/>
  <c r="AO29" i="3"/>
  <c r="AO50" i="3"/>
  <c r="AP26" i="3"/>
  <c r="AI41" i="3"/>
  <c r="AI59" i="3" s="1"/>
  <c r="AI42" i="3"/>
  <c r="AI43" i="3" s="1"/>
  <c r="AN47" i="3"/>
  <c r="AO20" i="3"/>
  <c r="AN28" i="3"/>
  <c r="AP48" i="3"/>
  <c r="AQ24" i="3"/>
  <c r="BQ29" i="1"/>
  <c r="BQ52" i="1" s="1"/>
  <c r="BP32" i="1"/>
  <c r="BP56" i="1" s="1"/>
  <c r="BH43" i="1"/>
  <c r="BO47" i="1"/>
  <c r="BI42" i="1" l="1"/>
  <c r="BI43" i="1" s="1"/>
  <c r="BO25" i="1"/>
  <c r="BN49" i="1"/>
  <c r="BL57" i="1"/>
  <c r="BL33" i="1"/>
  <c r="BL34" i="1" s="1"/>
  <c r="BL55" i="1" s="1"/>
  <c r="BJ40" i="1"/>
  <c r="BJ41" i="1" s="1"/>
  <c r="BJ59" i="1" s="1"/>
  <c r="BJ58" i="1"/>
  <c r="BN28" i="1"/>
  <c r="BN50" i="1"/>
  <c r="BO26" i="1"/>
  <c r="BP26" i="1" s="1"/>
  <c r="BL36" i="1"/>
  <c r="BL54" i="1" s="1"/>
  <c r="BL35" i="1"/>
  <c r="BL46" i="1"/>
  <c r="BK53" i="1"/>
  <c r="BK37" i="1"/>
  <c r="BK38" i="1" s="1"/>
  <c r="BM31" i="1"/>
  <c r="BM51" i="1"/>
  <c r="BM30" i="1"/>
  <c r="BO48" i="1"/>
  <c r="AK58" i="3"/>
  <c r="AK40" i="3"/>
  <c r="AL55" i="3"/>
  <c r="AQ49" i="3"/>
  <c r="AR25" i="3"/>
  <c r="AR49" i="3" s="1"/>
  <c r="AP50" i="3"/>
  <c r="AQ26" i="3"/>
  <c r="AQ48" i="3"/>
  <c r="AR24" i="3"/>
  <c r="AR48" i="3" s="1"/>
  <c r="AL37" i="3"/>
  <c r="AL38" i="3" s="1"/>
  <c r="AL53" i="3"/>
  <c r="AO28" i="3"/>
  <c r="AO47" i="3"/>
  <c r="AP20" i="3"/>
  <c r="AJ41" i="3"/>
  <c r="AJ59" i="3" s="1"/>
  <c r="AO52" i="3"/>
  <c r="AP29" i="3"/>
  <c r="AO32" i="3"/>
  <c r="AO56" i="3" s="1"/>
  <c r="AN51" i="3"/>
  <c r="AN31" i="3"/>
  <c r="AN33" i="3" s="1"/>
  <c r="AN30" i="3"/>
  <c r="AM36" i="3"/>
  <c r="AM54" i="3" s="1"/>
  <c r="AM34" i="3"/>
  <c r="AM46" i="3"/>
  <c r="AM35" i="3"/>
  <c r="AM57" i="3"/>
  <c r="BR29" i="1"/>
  <c r="BR52" i="1" s="1"/>
  <c r="BQ32" i="1"/>
  <c r="BQ56" i="1" s="1"/>
  <c r="BQ20" i="1"/>
  <c r="BP47" i="1"/>
  <c r="BO49" i="1" l="1"/>
  <c r="BP25" i="1"/>
  <c r="BP28" i="1"/>
  <c r="BP30" i="1" s="1"/>
  <c r="BJ42" i="1"/>
  <c r="BN30" i="1"/>
  <c r="BN51" i="1"/>
  <c r="BN31" i="1"/>
  <c r="BL53" i="1"/>
  <c r="BL37" i="1"/>
  <c r="BL38" i="1" s="1"/>
  <c r="BM36" i="1"/>
  <c r="BM54" i="1" s="1"/>
  <c r="BM46" i="1"/>
  <c r="BM35" i="1"/>
  <c r="BK40" i="1"/>
  <c r="BK41" i="1" s="1"/>
  <c r="BK59" i="1" s="1"/>
  <c r="BK58" i="1"/>
  <c r="BO28" i="1"/>
  <c r="BO50" i="1"/>
  <c r="BM57" i="1"/>
  <c r="BM33" i="1"/>
  <c r="BM34" i="1" s="1"/>
  <c r="BM55" i="1" s="1"/>
  <c r="BQ24" i="1"/>
  <c r="BP48" i="1"/>
  <c r="AL40" i="3"/>
  <c r="AL58" i="3"/>
  <c r="AR26" i="3"/>
  <c r="AR50" i="3" s="1"/>
  <c r="AQ50" i="3"/>
  <c r="AQ29" i="3"/>
  <c r="AP32" i="3"/>
  <c r="AP56" i="3"/>
  <c r="AP52" i="3"/>
  <c r="AP47" i="3"/>
  <c r="AP28" i="3"/>
  <c r="AQ20" i="3"/>
  <c r="AM37" i="3"/>
  <c r="AM38" i="3" s="1"/>
  <c r="AM53" i="3"/>
  <c r="AK41" i="3"/>
  <c r="AK59" i="3" s="1"/>
  <c r="AN57" i="3"/>
  <c r="AJ42" i="3"/>
  <c r="AJ43" i="3" s="1"/>
  <c r="AM55" i="3"/>
  <c r="AN36" i="3"/>
  <c r="AN54" i="3" s="1"/>
  <c r="AN34" i="3"/>
  <c r="AN46" i="3"/>
  <c r="AN35" i="3"/>
  <c r="AO57" i="3"/>
  <c r="AO51" i="3"/>
  <c r="AO31" i="3"/>
  <c r="AO33" i="3" s="1"/>
  <c r="AO30" i="3"/>
  <c r="BS29" i="1"/>
  <c r="BS52" i="1" s="1"/>
  <c r="BR32" i="1"/>
  <c r="BR56" i="1" s="1"/>
  <c r="BJ43" i="1"/>
  <c r="BR20" i="1"/>
  <c r="BQ47" i="1"/>
  <c r="BQ25" i="1" l="1"/>
  <c r="BP49" i="1"/>
  <c r="BK42" i="1"/>
  <c r="BK43" i="1" s="1"/>
  <c r="BL40" i="1"/>
  <c r="BL41" i="1" s="1"/>
  <c r="BL59" i="1" s="1"/>
  <c r="BL58" i="1"/>
  <c r="BO51" i="1"/>
  <c r="BO30" i="1"/>
  <c r="BO31" i="1"/>
  <c r="BO33" i="1" s="1"/>
  <c r="BN57" i="1"/>
  <c r="BN33" i="1"/>
  <c r="BN34" i="1" s="1"/>
  <c r="BN55" i="1" s="1"/>
  <c r="BM53" i="1"/>
  <c r="BM37" i="1"/>
  <c r="BM38" i="1" s="1"/>
  <c r="BP50" i="1"/>
  <c r="BQ26" i="1"/>
  <c r="BN36" i="1"/>
  <c r="BN54" i="1" s="1"/>
  <c r="BN46" i="1"/>
  <c r="BN35" i="1"/>
  <c r="BR24" i="1"/>
  <c r="BQ48" i="1"/>
  <c r="AM40" i="3"/>
  <c r="AM58" i="3"/>
  <c r="AQ32" i="3"/>
  <c r="AQ56" i="3" s="1"/>
  <c r="AQ52" i="3"/>
  <c r="AR29" i="3"/>
  <c r="AQ47" i="3"/>
  <c r="AQ28" i="3"/>
  <c r="AR20" i="3"/>
  <c r="AN55" i="3"/>
  <c r="AN37" i="3"/>
  <c r="AN38" i="3" s="1"/>
  <c r="AN53" i="3"/>
  <c r="AK42" i="3"/>
  <c r="AK43" i="3" s="1"/>
  <c r="AP51" i="3"/>
  <c r="AP31" i="3"/>
  <c r="AP33" i="3" s="1"/>
  <c r="AP30" i="3"/>
  <c r="AO36" i="3"/>
  <c r="AO54" i="3" s="1"/>
  <c r="AO34" i="3"/>
  <c r="AO46" i="3"/>
  <c r="AO35" i="3"/>
  <c r="AL41" i="3"/>
  <c r="AL59" i="3" s="1"/>
  <c r="BS32" i="1"/>
  <c r="BS56" i="1" s="1"/>
  <c r="BS20" i="1"/>
  <c r="BR47" i="1"/>
  <c r="BR25" i="1" l="1"/>
  <c r="BQ49" i="1"/>
  <c r="BO34" i="1"/>
  <c r="BO55" i="1" s="1"/>
  <c r="BL42" i="1"/>
  <c r="BL43" i="1" s="1"/>
  <c r="BO57" i="1"/>
  <c r="BM40" i="1"/>
  <c r="BM41" i="1" s="1"/>
  <c r="BM59" i="1" s="1"/>
  <c r="BM58" i="1"/>
  <c r="BP51" i="1"/>
  <c r="BP31" i="1"/>
  <c r="BP33" i="1" s="1"/>
  <c r="BP34" i="1" s="1"/>
  <c r="BO36" i="1"/>
  <c r="BO54" i="1" s="1"/>
  <c r="BO35" i="1"/>
  <c r="BO46" i="1"/>
  <c r="BN53" i="1"/>
  <c r="BN37" i="1"/>
  <c r="BN38" i="1" s="1"/>
  <c r="BR26" i="1"/>
  <c r="BQ50" i="1"/>
  <c r="BQ28" i="1"/>
  <c r="BS24" i="1"/>
  <c r="BS48" i="1" s="1"/>
  <c r="BR48" i="1"/>
  <c r="AN40" i="3"/>
  <c r="AN58" i="3"/>
  <c r="AL42" i="3"/>
  <c r="AL43" i="3" s="1"/>
  <c r="AO37" i="3"/>
  <c r="AO53" i="3"/>
  <c r="AO38" i="3"/>
  <c r="AO55" i="3"/>
  <c r="AP46" i="3"/>
  <c r="AP35" i="3"/>
  <c r="AP36" i="3"/>
  <c r="AP54" i="3" s="1"/>
  <c r="AP34" i="3"/>
  <c r="AR47" i="3"/>
  <c r="AR28" i="3"/>
  <c r="AR32" i="3"/>
  <c r="AR56" i="3"/>
  <c r="AR52" i="3"/>
  <c r="AQ51" i="3"/>
  <c r="AQ30" i="3"/>
  <c r="AQ31" i="3"/>
  <c r="AQ33" i="3" s="1"/>
  <c r="AP57" i="3"/>
  <c r="AM41" i="3"/>
  <c r="AM59" i="3" s="1"/>
  <c r="BS47" i="1"/>
  <c r="BS25" i="1" l="1"/>
  <c r="BS49" i="1" s="1"/>
  <c r="BR49" i="1"/>
  <c r="BM42" i="1"/>
  <c r="BM43" i="1" s="1"/>
  <c r="BP55" i="1"/>
  <c r="BP57" i="1"/>
  <c r="BN58" i="1"/>
  <c r="BN40" i="1"/>
  <c r="BN41" i="1" s="1"/>
  <c r="BN59" i="1" s="1"/>
  <c r="BR50" i="1"/>
  <c r="BR28" i="1"/>
  <c r="BS26" i="1"/>
  <c r="BO37" i="1"/>
  <c r="BO38" i="1" s="1"/>
  <c r="BO53" i="1"/>
  <c r="BP36" i="1"/>
  <c r="BP54" i="1" s="1"/>
  <c r="BP46" i="1"/>
  <c r="BP35" i="1"/>
  <c r="BQ30" i="1"/>
  <c r="BQ31" i="1"/>
  <c r="BQ51" i="1"/>
  <c r="AP55" i="3"/>
  <c r="AP37" i="3"/>
  <c r="AP38" i="3" s="1"/>
  <c r="AP53" i="3"/>
  <c r="AQ57" i="3"/>
  <c r="AQ46" i="3"/>
  <c r="AQ35" i="3"/>
  <c r="AQ36" i="3"/>
  <c r="AQ54" i="3" s="1"/>
  <c r="AQ34" i="3"/>
  <c r="AM42" i="3"/>
  <c r="AM43" i="3" s="1"/>
  <c r="AO40" i="3"/>
  <c r="AO58" i="3"/>
  <c r="AR51" i="3"/>
  <c r="AR30" i="3"/>
  <c r="AR31" i="3"/>
  <c r="AR33" i="3" s="1"/>
  <c r="AN41" i="3"/>
  <c r="AN59" i="3" s="1"/>
  <c r="BN42" i="1" l="1"/>
  <c r="BN43" i="1" s="1"/>
  <c r="BQ57" i="1"/>
  <c r="BQ33" i="1"/>
  <c r="BQ34" i="1" s="1"/>
  <c r="BQ55" i="1" s="1"/>
  <c r="BR31" i="1"/>
  <c r="BR30" i="1"/>
  <c r="BR51" i="1"/>
  <c r="BP53" i="1"/>
  <c r="BP37" i="1"/>
  <c r="BP38" i="1" s="1"/>
  <c r="BP40" i="1" s="1"/>
  <c r="BS50" i="1"/>
  <c r="BS28" i="1"/>
  <c r="BO58" i="1"/>
  <c r="BO40" i="1"/>
  <c r="BO41" i="1" s="1"/>
  <c r="BO59" i="1" s="1"/>
  <c r="BQ36" i="1"/>
  <c r="BQ54" i="1" s="1"/>
  <c r="BQ46" i="1"/>
  <c r="BQ35" i="1"/>
  <c r="AP58" i="3"/>
  <c r="AP40" i="3"/>
  <c r="AN42" i="3"/>
  <c r="AN43" i="3" s="1"/>
  <c r="AQ53" i="3"/>
  <c r="AQ37" i="3"/>
  <c r="AR34" i="3"/>
  <c r="AR46" i="3"/>
  <c r="AR35" i="3"/>
  <c r="AR36" i="3"/>
  <c r="AR54" i="3" s="1"/>
  <c r="AO41" i="3"/>
  <c r="AO59" i="3" s="1"/>
  <c r="AQ38" i="3"/>
  <c r="AQ55" i="3"/>
  <c r="AR57" i="3"/>
  <c r="BR36" i="1" l="1"/>
  <c r="BR54" i="1" s="1"/>
  <c r="BR35" i="1"/>
  <c r="BR46" i="1"/>
  <c r="BR33" i="1"/>
  <c r="BR34" i="1" s="1"/>
  <c r="BR57" i="1"/>
  <c r="BP41" i="1"/>
  <c r="BP59" i="1" s="1"/>
  <c r="BP58" i="1"/>
  <c r="BS51" i="1"/>
  <c r="BS30" i="1"/>
  <c r="BS31" i="1"/>
  <c r="BO42" i="1"/>
  <c r="BO43" i="1" s="1"/>
  <c r="BQ37" i="1"/>
  <c r="BQ38" i="1" s="1"/>
  <c r="BQ53" i="1"/>
  <c r="AO42" i="3"/>
  <c r="AO43" i="3" s="1"/>
  <c r="AP41" i="3"/>
  <c r="AP59" i="3" s="1"/>
  <c r="AP42" i="3"/>
  <c r="AP43" i="3" s="1"/>
  <c r="AQ58" i="3"/>
  <c r="AQ40" i="3"/>
  <c r="AR53" i="3"/>
  <c r="AR37" i="3"/>
  <c r="AR55" i="3"/>
  <c r="AR38" i="3"/>
  <c r="BP42" i="1" l="1"/>
  <c r="BP43" i="1" s="1"/>
  <c r="BR55" i="1"/>
  <c r="BS57" i="1"/>
  <c r="BS33" i="1"/>
  <c r="BS34" i="1" s="1"/>
  <c r="BS55" i="1" s="1"/>
  <c r="BQ40" i="1"/>
  <c r="BQ41" i="1" s="1"/>
  <c r="BQ59" i="1" s="1"/>
  <c r="BQ58" i="1"/>
  <c r="BR53" i="1"/>
  <c r="BR37" i="1"/>
  <c r="BR38" i="1" s="1"/>
  <c r="BS36" i="1"/>
  <c r="BS54" i="1" s="1"/>
  <c r="BS35" i="1"/>
  <c r="BS46" i="1"/>
  <c r="AR58" i="3"/>
  <c r="AR40" i="3"/>
  <c r="AQ41" i="3"/>
  <c r="AQ59" i="3" s="1"/>
  <c r="BR40" i="1" l="1"/>
  <c r="BR41" i="1" s="1"/>
  <c r="BR59" i="1" s="1"/>
  <c r="BR58" i="1"/>
  <c r="BS37" i="1"/>
  <c r="BS38" i="1" s="1"/>
  <c r="BS53" i="1"/>
  <c r="BQ42" i="1"/>
  <c r="BQ43" i="1" s="1"/>
  <c r="AR41" i="3"/>
  <c r="AR59" i="3" s="1"/>
  <c r="AQ42" i="3"/>
  <c r="AQ43" i="3" s="1"/>
  <c r="BR42" i="1" l="1"/>
  <c r="BR43" i="1" s="1"/>
  <c r="BS40" i="1"/>
  <c r="BS41" i="1" s="1"/>
  <c r="BS59" i="1" s="1"/>
  <c r="BS58" i="1"/>
  <c r="AR42" i="3"/>
  <c r="BS42" i="1" l="1"/>
  <c r="BS43" i="1" s="1"/>
  <c r="AS42" i="3"/>
  <c r="AT42" i="3" s="1"/>
  <c r="AU42" i="3" s="1"/>
  <c r="AV42" i="3" s="1"/>
  <c r="AW42" i="3" s="1"/>
  <c r="AX42" i="3" s="1"/>
  <c r="AY42" i="3" s="1"/>
  <c r="AZ42" i="3" s="1"/>
  <c r="BA42" i="3" s="1"/>
  <c r="BB42" i="3" s="1"/>
  <c r="AR43" i="3"/>
  <c r="BT42" i="1" l="1"/>
  <c r="BU42" i="1" s="1"/>
  <c r="BV42" i="1" s="1"/>
  <c r="BW42" i="1" s="1"/>
  <c r="BX42" i="1" s="1"/>
  <c r="BY42" i="1" s="1"/>
  <c r="BZ42" i="1" s="1"/>
  <c r="CA42" i="1" s="1"/>
  <c r="CB42" i="1" s="1"/>
  <c r="CC42" i="1" s="1"/>
  <c r="CD42" i="1" s="1"/>
  <c r="CE42" i="1" s="1"/>
  <c r="CF42" i="1" s="1"/>
  <c r="CG42" i="1" s="1"/>
  <c r="CH42" i="1" s="1"/>
  <c r="CI42" i="1" s="1"/>
  <c r="CJ42" i="1" s="1"/>
  <c r="CK42" i="1" s="1"/>
  <c r="CL42" i="1" s="1"/>
  <c r="CM42" i="1" s="1"/>
  <c r="CN42" i="1" s="1"/>
  <c r="CO42" i="1" s="1"/>
  <c r="CP42" i="1" s="1"/>
  <c r="CQ42" i="1" s="1"/>
  <c r="CR42" i="1" s="1"/>
  <c r="CS42" i="1" s="1"/>
  <c r="CT42" i="1" s="1"/>
  <c r="CU42" i="1" s="1"/>
  <c r="CV42" i="1" s="1"/>
  <c r="CW42" i="1" s="1"/>
  <c r="CX42" i="1" s="1"/>
  <c r="CY42" i="1" s="1"/>
  <c r="CZ42" i="1" s="1"/>
  <c r="DA42" i="1" s="1"/>
  <c r="DB42" i="1" s="1"/>
  <c r="DC42" i="1" s="1"/>
  <c r="DD42" i="1" s="1"/>
  <c r="DE42" i="1" s="1"/>
  <c r="DF42" i="1" s="1"/>
  <c r="DG42" i="1" s="1"/>
  <c r="DH42" i="1" s="1"/>
  <c r="DI42" i="1" s="1"/>
  <c r="DJ42" i="1" s="1"/>
  <c r="DK42" i="1" s="1"/>
  <c r="DL42" i="1" s="1"/>
  <c r="DM42" i="1" s="1"/>
  <c r="DN42" i="1" s="1"/>
  <c r="DO42" i="1" s="1"/>
  <c r="DP42" i="1" s="1"/>
  <c r="DQ42" i="1" s="1"/>
  <c r="DR42" i="1" s="1"/>
  <c r="DS42" i="1" s="1"/>
  <c r="DT42" i="1" s="1"/>
  <c r="DU42" i="1" s="1"/>
  <c r="DV42" i="1" s="1"/>
  <c r="DW42" i="1" s="1"/>
  <c r="DX42" i="1" s="1"/>
  <c r="DY42" i="1" s="1"/>
  <c r="DZ42" i="1" s="1"/>
  <c r="EA42" i="1" s="1"/>
  <c r="EB42" i="1" s="1"/>
  <c r="EC42" i="1" s="1"/>
  <c r="ED42" i="1" s="1"/>
  <c r="EE42" i="1" s="1"/>
  <c r="EF42" i="1" s="1"/>
  <c r="EG42" i="1" s="1"/>
  <c r="EH42" i="1" s="1"/>
  <c r="EI42" i="1" s="1"/>
  <c r="EJ42" i="1" s="1"/>
  <c r="EK42" i="1" s="1"/>
  <c r="EL42" i="1" s="1"/>
  <c r="EM42" i="1" s="1"/>
  <c r="EN42" i="1" s="1"/>
  <c r="EO42" i="1" s="1"/>
  <c r="EP42" i="1" s="1"/>
  <c r="EQ42" i="1" s="1"/>
  <c r="ER42" i="1" s="1"/>
  <c r="ES42" i="1" s="1"/>
  <c r="ET42" i="1" s="1"/>
  <c r="EU42" i="1" s="1"/>
  <c r="EV42" i="1" s="1"/>
  <c r="EW42" i="1" s="1"/>
  <c r="EX42" i="1" s="1"/>
  <c r="EY42" i="1" s="1"/>
  <c r="EZ42" i="1" s="1"/>
  <c r="FA42" i="1" s="1"/>
  <c r="FB42" i="1" s="1"/>
  <c r="FC42" i="1" s="1"/>
  <c r="FD42" i="1" s="1"/>
  <c r="FE42" i="1" s="1"/>
  <c r="FF42" i="1" s="1"/>
  <c r="BC42" i="3"/>
  <c r="BD42" i="3" s="1"/>
  <c r="BE42" i="3" s="1"/>
  <c r="BF42" i="3" s="1"/>
  <c r="BG42" i="3" s="1"/>
  <c r="BH42" i="3" s="1"/>
  <c r="BI42" i="3" s="1"/>
  <c r="BJ42" i="3" s="1"/>
  <c r="BK42" i="3" s="1"/>
  <c r="BL42" i="3" s="1"/>
  <c r="BM42" i="3" s="1"/>
  <c r="BN42" i="3" s="1"/>
  <c r="BO42" i="3" s="1"/>
  <c r="BP42" i="3" s="1"/>
  <c r="BQ42" i="3" s="1"/>
  <c r="BR42" i="3" s="1"/>
  <c r="BS42" i="3" s="1"/>
  <c r="BT42" i="3" s="1"/>
  <c r="BU42" i="3" s="1"/>
  <c r="BV42" i="3" s="1"/>
  <c r="BW42" i="3" s="1"/>
  <c r="BX42" i="3" s="1"/>
  <c r="BY42" i="3" s="1"/>
  <c r="BZ42" i="3" s="1"/>
  <c r="CA42" i="3" s="1"/>
  <c r="CB42" i="3" s="1"/>
  <c r="CC42" i="3" s="1"/>
  <c r="CD42" i="3" s="1"/>
  <c r="CE42" i="3" s="1"/>
  <c r="CF42" i="3" s="1"/>
  <c r="CG42" i="3" s="1"/>
  <c r="CH42" i="3" s="1"/>
  <c r="CI42" i="3" s="1"/>
  <c r="CJ42" i="3" s="1"/>
  <c r="CK42" i="3" s="1"/>
  <c r="CL42" i="3" s="1"/>
  <c r="CM42" i="3" s="1"/>
  <c r="CN42" i="3" s="1"/>
  <c r="CO42" i="3" s="1"/>
  <c r="CP42" i="3" s="1"/>
  <c r="CQ42" i="3" s="1"/>
  <c r="CR42" i="3" s="1"/>
  <c r="CS42" i="3" s="1"/>
  <c r="CT42" i="3" s="1"/>
  <c r="CU42" i="3" s="1"/>
  <c r="CV42" i="3" s="1"/>
  <c r="CW42" i="3" s="1"/>
  <c r="CX42" i="3" s="1"/>
  <c r="CY42" i="3" s="1"/>
  <c r="CZ42" i="3" s="1"/>
  <c r="DA42" i="3" s="1"/>
  <c r="DB42" i="3" s="1"/>
  <c r="DC42" i="3" s="1"/>
  <c r="DD42" i="3" s="1"/>
  <c r="DE42" i="3" s="1"/>
  <c r="DF42" i="3" s="1"/>
  <c r="DG42" i="3" s="1"/>
  <c r="DH42" i="3" s="1"/>
  <c r="DI42" i="3" s="1"/>
  <c r="DJ42" i="3" s="1"/>
  <c r="DK42" i="3" s="1"/>
  <c r="DL42" i="3" s="1"/>
  <c r="DM42" i="3" s="1"/>
  <c r="DN42" i="3" s="1"/>
  <c r="DO42" i="3" s="1"/>
  <c r="DP42" i="3" s="1"/>
  <c r="DQ42" i="3" s="1"/>
  <c r="DR42" i="3" s="1"/>
  <c r="DS42" i="3" s="1"/>
  <c r="DT42" i="3" s="1"/>
  <c r="DU42" i="3" s="1"/>
  <c r="DV42" i="3" s="1"/>
  <c r="DW42" i="3" s="1"/>
  <c r="DX42" i="3" s="1"/>
  <c r="DY42" i="3" s="1"/>
  <c r="DZ42" i="3" s="1"/>
  <c r="EA42" i="3" s="1"/>
  <c r="EB42" i="3" s="1"/>
  <c r="EC42" i="3" s="1"/>
  <c r="ED42" i="3" s="1"/>
  <c r="EE42" i="3" s="1"/>
  <c r="AY24" i="3"/>
  <c r="N18" i="1"/>
  <c r="N17" i="1"/>
  <c r="N16" i="1"/>
  <c r="N15" i="1"/>
  <c r="N14" i="1"/>
  <c r="R18" i="1"/>
  <c r="R17" i="1"/>
  <c r="R16" i="1"/>
  <c r="R15" i="1"/>
  <c r="R14" i="1"/>
  <c r="W76" i="1"/>
  <c r="W79" i="1" s="1"/>
  <c r="W64" i="1"/>
  <c r="V64" i="1"/>
  <c r="V18" i="1"/>
  <c r="V17" i="1"/>
  <c r="V16" i="1"/>
  <c r="V15" i="1"/>
  <c r="V14" i="1"/>
  <c r="X98" i="1"/>
  <c r="X96" i="1"/>
  <c r="X95" i="1"/>
  <c r="X94" i="1"/>
  <c r="X91" i="1"/>
  <c r="X83" i="1"/>
  <c r="X82" i="1"/>
  <c r="X76" i="1"/>
  <c r="X79" i="1" s="1"/>
  <c r="W57" i="1"/>
  <c r="W56" i="1"/>
  <c r="V56" i="1"/>
  <c r="U56" i="1"/>
  <c r="T56" i="1"/>
  <c r="S56" i="1"/>
  <c r="R56" i="1"/>
  <c r="Q56" i="1"/>
  <c r="P56" i="1"/>
  <c r="O56" i="1"/>
  <c r="N56" i="1"/>
  <c r="M56" i="1"/>
  <c r="L56" i="1"/>
  <c r="X52" i="1"/>
  <c r="W52" i="1"/>
  <c r="V52" i="1"/>
  <c r="U52" i="1"/>
  <c r="T52" i="1"/>
  <c r="S52" i="1"/>
  <c r="R52" i="1"/>
  <c r="Q52" i="1"/>
  <c r="P52" i="1"/>
  <c r="W47" i="1"/>
  <c r="V47" i="1"/>
  <c r="U47" i="1"/>
  <c r="T47" i="1"/>
  <c r="S47" i="1"/>
  <c r="R47" i="1"/>
  <c r="Q47" i="1"/>
  <c r="P47" i="1"/>
  <c r="F44" i="1"/>
  <c r="D44" i="1"/>
  <c r="C44" i="1"/>
  <c r="F41" i="1"/>
  <c r="F39" i="1"/>
  <c r="W37" i="1"/>
  <c r="V37" i="1"/>
  <c r="U37" i="1"/>
  <c r="T37" i="1"/>
  <c r="S37" i="1"/>
  <c r="R37" i="1"/>
  <c r="Q37" i="1"/>
  <c r="P37" i="1"/>
  <c r="O37" i="1"/>
  <c r="N37" i="1"/>
  <c r="M37" i="1"/>
  <c r="L37" i="1"/>
  <c r="K37" i="1"/>
  <c r="E37" i="1"/>
  <c r="D37" i="1"/>
  <c r="C37" i="1"/>
  <c r="F36" i="1"/>
  <c r="X33" i="1"/>
  <c r="W33" i="1"/>
  <c r="V33" i="1"/>
  <c r="U33" i="1"/>
  <c r="T33" i="1"/>
  <c r="S33" i="1"/>
  <c r="R33" i="1"/>
  <c r="Q33" i="1"/>
  <c r="P33" i="1"/>
  <c r="O33" i="1"/>
  <c r="N33" i="1"/>
  <c r="M33" i="1"/>
  <c r="L33" i="1"/>
  <c r="F33" i="1"/>
  <c r="W30" i="1"/>
  <c r="K30" i="1"/>
  <c r="F29" i="1"/>
  <c r="V28" i="1"/>
  <c r="U28" i="1"/>
  <c r="T28" i="1"/>
  <c r="T30" i="1" s="1"/>
  <c r="S28" i="1"/>
  <c r="S30" i="1" s="1"/>
  <c r="R28" i="1"/>
  <c r="Q28" i="1"/>
  <c r="P28" i="1"/>
  <c r="O28" i="1"/>
  <c r="N28" i="1"/>
  <c r="M28" i="1"/>
  <c r="L28" i="1"/>
  <c r="L30" i="1" s="1"/>
  <c r="L46" i="1" s="1"/>
  <c r="E28" i="1"/>
  <c r="D28" i="1"/>
  <c r="C28" i="1"/>
  <c r="F26" i="1"/>
  <c r="F25" i="1"/>
  <c r="F24" i="1"/>
  <c r="T22" i="1"/>
  <c r="S22" i="1"/>
  <c r="R22" i="1"/>
  <c r="Q22" i="1"/>
  <c r="U22" i="1" s="1"/>
  <c r="P22" i="1"/>
  <c r="O22" i="1"/>
  <c r="N22" i="1"/>
  <c r="M22" i="1"/>
  <c r="L22" i="1"/>
  <c r="K22" i="1"/>
  <c r="E22" i="1"/>
  <c r="D22" i="1"/>
  <c r="C22" i="1"/>
  <c r="F20" i="1"/>
  <c r="AW20" i="1" s="1"/>
  <c r="Y2" i="1"/>
  <c r="Z2" i="1" s="1"/>
  <c r="J2" i="1"/>
  <c r="I2" i="1" s="1"/>
  <c r="H2" i="1" s="1"/>
  <c r="G2" i="1" s="1"/>
  <c r="F2" i="1" s="1"/>
  <c r="BA21" i="1" l="1"/>
  <c r="BA22" i="1" s="1"/>
  <c r="J49" i="1"/>
  <c r="AW25" i="1"/>
  <c r="J48" i="1"/>
  <c r="AW24" i="1"/>
  <c r="J50" i="1"/>
  <c r="AW26" i="1"/>
  <c r="J52" i="1"/>
  <c r="AW29" i="1"/>
  <c r="AX47" i="1"/>
  <c r="AW47" i="1"/>
  <c r="AW21" i="1"/>
  <c r="AW22" i="1" s="1"/>
  <c r="AV21" i="1"/>
  <c r="AV22" i="1" s="1"/>
  <c r="F37" i="1"/>
  <c r="V51" i="1"/>
  <c r="N57" i="1"/>
  <c r="N51" i="1"/>
  <c r="V57" i="1"/>
  <c r="P57" i="1"/>
  <c r="P51" i="1"/>
  <c r="V30" i="1"/>
  <c r="V34" i="1" s="1"/>
  <c r="O57" i="1"/>
  <c r="O51" i="1"/>
  <c r="Q57" i="1"/>
  <c r="Q51" i="1"/>
  <c r="W46" i="1"/>
  <c r="X34" i="1"/>
  <c r="X38" i="1" s="1"/>
  <c r="X40" i="1" s="1"/>
  <c r="R57" i="1"/>
  <c r="R51" i="1"/>
  <c r="S57" i="1"/>
  <c r="W51" i="1"/>
  <c r="S51" i="1"/>
  <c r="T57" i="1"/>
  <c r="T51" i="1"/>
  <c r="X51" i="1"/>
  <c r="C30" i="1"/>
  <c r="C34" i="1" s="1"/>
  <c r="G51" i="1"/>
  <c r="U57" i="1"/>
  <c r="U51" i="1"/>
  <c r="M57" i="1"/>
  <c r="M51" i="1"/>
  <c r="E57" i="1"/>
  <c r="I51" i="1"/>
  <c r="D57" i="1"/>
  <c r="H51" i="1"/>
  <c r="L57" i="1"/>
  <c r="L51" i="1"/>
  <c r="X97" i="1"/>
  <c r="X99" i="1" s="1"/>
  <c r="W99" i="1"/>
  <c r="U30" i="1"/>
  <c r="U34" i="1" s="1"/>
  <c r="L34" i="1"/>
  <c r="D30" i="1"/>
  <c r="W34" i="1"/>
  <c r="W38" i="1" s="1"/>
  <c r="W40" i="1" s="1"/>
  <c r="O30" i="1"/>
  <c r="O46" i="1" s="1"/>
  <c r="E30" i="1"/>
  <c r="V71" i="1"/>
  <c r="V63" i="1"/>
  <c r="K34" i="1"/>
  <c r="K46" i="1"/>
  <c r="W71" i="1"/>
  <c r="W63" i="1"/>
  <c r="F28" i="1"/>
  <c r="J51" i="1" s="1"/>
  <c r="F22" i="1"/>
  <c r="J47" i="1"/>
  <c r="X46" i="1"/>
  <c r="M30" i="1"/>
  <c r="N30" i="1"/>
  <c r="P30" i="1"/>
  <c r="T46" i="1" s="1"/>
  <c r="S34" i="1"/>
  <c r="Q30" i="1"/>
  <c r="T34" i="1"/>
  <c r="R30" i="1"/>
  <c r="AW28" i="1" l="1"/>
  <c r="AW30" i="1"/>
  <c r="W58" i="1"/>
  <c r="U46" i="1"/>
  <c r="X42" i="1"/>
  <c r="G46" i="1"/>
  <c r="E34" i="1"/>
  <c r="I46" i="1"/>
  <c r="D34" i="1"/>
  <c r="H46" i="1"/>
  <c r="L38" i="1"/>
  <c r="L55" i="1"/>
  <c r="N34" i="1"/>
  <c r="N38" i="1" s="1"/>
  <c r="W101" i="1"/>
  <c r="M34" i="1"/>
  <c r="M38" i="1" s="1"/>
  <c r="K38" i="1"/>
  <c r="K55" i="1"/>
  <c r="W55" i="1"/>
  <c r="F30" i="1"/>
  <c r="J46" i="1" s="1"/>
  <c r="C38" i="1"/>
  <c r="C55" i="1"/>
  <c r="O34" i="1"/>
  <c r="S46" i="1"/>
  <c r="U55" i="1"/>
  <c r="U38" i="1"/>
  <c r="W59" i="1"/>
  <c r="W42" i="1"/>
  <c r="W81" i="1" s="1"/>
  <c r="R46" i="1"/>
  <c r="R34" i="1"/>
  <c r="T55" i="1"/>
  <c r="T38" i="1"/>
  <c r="Q46" i="1"/>
  <c r="Q34" i="1"/>
  <c r="V55" i="1"/>
  <c r="V38" i="1"/>
  <c r="S38" i="1"/>
  <c r="S55" i="1"/>
  <c r="P34" i="1"/>
  <c r="P46" i="1"/>
  <c r="V46" i="1"/>
  <c r="Z36" i="1" l="1"/>
  <c r="BB36" i="1" s="1"/>
  <c r="Z34" i="1"/>
  <c r="BB34" i="1" s="1"/>
  <c r="AX46" i="1"/>
  <c r="AW46" i="1"/>
  <c r="AW34" i="1"/>
  <c r="X81" i="1"/>
  <c r="X43" i="1"/>
  <c r="N55" i="1"/>
  <c r="M55" i="1"/>
  <c r="L40" i="1"/>
  <c r="L58" i="1"/>
  <c r="D38" i="1"/>
  <c r="D55" i="1"/>
  <c r="K40" i="1"/>
  <c r="K58" i="1"/>
  <c r="E55" i="1"/>
  <c r="E38" i="1"/>
  <c r="C40" i="1"/>
  <c r="C58" i="1"/>
  <c r="F34" i="1"/>
  <c r="F38" i="1" s="1"/>
  <c r="W43" i="1"/>
  <c r="S40" i="1"/>
  <c r="S58" i="1"/>
  <c r="U58" i="1"/>
  <c r="U40" i="1"/>
  <c r="N58" i="1"/>
  <c r="N40" i="1"/>
  <c r="O38" i="1"/>
  <c r="O55" i="1"/>
  <c r="V40" i="1"/>
  <c r="V58" i="1"/>
  <c r="Q38" i="1"/>
  <c r="Q55" i="1"/>
  <c r="R38" i="1"/>
  <c r="R55" i="1"/>
  <c r="P55" i="1"/>
  <c r="P38" i="1"/>
  <c r="T40" i="1"/>
  <c r="T58" i="1"/>
  <c r="M58" i="1"/>
  <c r="M40" i="1"/>
  <c r="BB55" i="1" l="1"/>
  <c r="BB54" i="1"/>
  <c r="BB46" i="1"/>
  <c r="BB53" i="1"/>
  <c r="AW38" i="1"/>
  <c r="Z55" i="1"/>
  <c r="E58" i="1"/>
  <c r="E40" i="1"/>
  <c r="D40" i="1"/>
  <c r="D58" i="1"/>
  <c r="K59" i="1"/>
  <c r="K42" i="1"/>
  <c r="L59" i="1"/>
  <c r="L42" i="1"/>
  <c r="F55" i="1"/>
  <c r="C42" i="1"/>
  <c r="C59" i="1"/>
  <c r="U59" i="1"/>
  <c r="U42" i="1"/>
  <c r="T59" i="1"/>
  <c r="T42" i="1"/>
  <c r="O58" i="1"/>
  <c r="O40" i="1"/>
  <c r="Q58" i="1"/>
  <c r="Q40" i="1"/>
  <c r="S59" i="1"/>
  <c r="S42" i="1"/>
  <c r="N59" i="1"/>
  <c r="N42" i="1"/>
  <c r="M42" i="1"/>
  <c r="M59" i="1"/>
  <c r="V59" i="1"/>
  <c r="V42" i="1"/>
  <c r="P40" i="1"/>
  <c r="P58" i="1"/>
  <c r="R40" i="1"/>
  <c r="R58" i="1"/>
  <c r="AW40" i="1" l="1"/>
  <c r="M43" i="1"/>
  <c r="M81" i="1"/>
  <c r="L43" i="1"/>
  <c r="L81" i="1"/>
  <c r="N43" i="1"/>
  <c r="N81" i="1"/>
  <c r="S43" i="1"/>
  <c r="S81" i="1"/>
  <c r="K43" i="1"/>
  <c r="K81" i="1"/>
  <c r="V43" i="1"/>
  <c r="V81" i="1"/>
  <c r="T43" i="1"/>
  <c r="T81" i="1"/>
  <c r="D42" i="1"/>
  <c r="D59" i="1"/>
  <c r="C43" i="1"/>
  <c r="C81" i="1"/>
  <c r="E59" i="1"/>
  <c r="E42" i="1"/>
  <c r="U43" i="1"/>
  <c r="U81" i="1"/>
  <c r="F40" i="1"/>
  <c r="F58" i="1"/>
  <c r="Q42" i="1"/>
  <c r="Q59" i="1"/>
  <c r="R59" i="1"/>
  <c r="R42" i="1"/>
  <c r="O42" i="1"/>
  <c r="O59" i="1"/>
  <c r="P42" i="1"/>
  <c r="P59" i="1"/>
  <c r="AW42" i="1" l="1"/>
  <c r="AW43" i="1" s="1"/>
  <c r="E43" i="1"/>
  <c r="E81" i="1"/>
  <c r="P43" i="1"/>
  <c r="P81" i="1"/>
  <c r="O43" i="1"/>
  <c r="O81" i="1"/>
  <c r="D43" i="1"/>
  <c r="D81" i="1"/>
  <c r="R43" i="1"/>
  <c r="R81" i="1"/>
  <c r="Q43" i="1"/>
  <c r="Q81" i="1"/>
  <c r="F59" i="1"/>
  <c r="F42" i="1"/>
  <c r="F43" i="1" l="1"/>
  <c r="F81" i="1"/>
  <c r="Z37" i="1" l="1"/>
  <c r="Z38" i="1" s="1"/>
  <c r="Z58" i="1" s="1"/>
  <c r="BB37" i="1" l="1"/>
  <c r="Z40" i="1"/>
  <c r="Z54" i="1"/>
  <c r="Z41" i="1" l="1"/>
  <c r="Z42" i="1" s="1"/>
  <c r="Z43" i="1" s="1"/>
  <c r="BB43" i="1" s="1"/>
  <c r="Y40" i="1"/>
  <c r="BB38" i="1"/>
  <c r="BB58" i="1" s="1"/>
  <c r="BB41" i="1" l="1"/>
  <c r="BB40" i="1"/>
  <c r="Y42" i="1" l="1"/>
  <c r="Y43" i="1" s="1"/>
  <c r="BB59" i="1"/>
  <c r="BB42" i="1" l="1"/>
  <c r="BZ24" i="1" l="1"/>
  <c r="BZ26" i="1" s="1"/>
  <c r="BZ27" i="1" s="1"/>
  <c r="D71" i="2" l="1"/>
  <c r="D73" i="2"/>
  <c r="BZ28" i="1"/>
  <c r="D75" i="2" s="1"/>
  <c r="D7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tc={5C085A6D-9EC1-44D4-9737-5A4821A6992A}</author>
    <author>tc={801287BC-2389-4FFA-A969-16FD0BDFB3A5}</author>
    <author>tc={C7C13230-C9FE-43D5-82BC-4C5006E4353D}</author>
    <author>Adrian Wilburn</author>
    <author>tc={7030A8F2-0272-46E4-A56A-631750A4E228}</author>
    <author>tc={1EA04361-DC33-43F4-B80A-BA8851FA268D}</author>
  </authors>
  <commentList>
    <comment ref="O20" authorId="0" shapeId="0" xr:uid="{5C085A6D-9EC1-44D4-9737-5A4821A6992A}">
      <text>
        <t>[Threaded comment]
Your version of Excel allows you to read this threaded comment; however, any edits to it will get removed if the file is opened in a newer version of Excel. Learn more: https://go.microsoft.com/fwlink/?linkid=870924
Comment:
    Iphone 12 Launch</t>
      </text>
    </comment>
    <comment ref="R20" authorId="1" shapeId="0" xr:uid="{801287BC-2389-4FFA-A969-16FD0BDFB3A5}">
      <text>
        <t>[Threaded comment]
Your version of Excel allows you to read this threaded comment; however, any edits to it will get removed if the file is opened in a newer version of Excel. Learn more: https://go.microsoft.com/fwlink/?linkid=870924
Comment:
    Iphone 13 launch</t>
      </text>
    </comment>
    <comment ref="G21" authorId="2" shapeId="0" xr:uid="{C7C13230-C9FE-43D5-82BC-4C5006E4353D}">
      <text>
        <t>[Threaded comment]
Your version of Excel allows you to read this threaded comment; however, any edits to it will get removed if the file is opened in a newer version of Excel. Learn more: https://go.microsoft.com/fwlink/?linkid=870924
Comment:
    Statista</t>
      </text>
    </comment>
    <comment ref="X64" authorId="3" shapeId="0" xr:uid="{712B98E7-16DA-468B-AA9F-F67D226AB6D5}">
      <text>
        <r>
          <rPr>
            <b/>
            <sz val="9"/>
            <color indexed="81"/>
            <rFont val="Tahoma"/>
            <charset val="1"/>
          </rPr>
          <t>Adrian Wilburn:</t>
        </r>
        <r>
          <rPr>
            <sz val="9"/>
            <color indexed="81"/>
            <rFont val="Tahoma"/>
            <charset val="1"/>
          </rPr>
          <t xml:space="preserve">
Cash + Current Marketable Securities + noncurrent Marketable securities </t>
        </r>
      </text>
    </comment>
    <comment ref="Y76" authorId="4" shapeId="0" xr:uid="{7030A8F2-0272-46E4-A56A-631750A4E228}">
      <text>
        <t xml:space="preserve">[Threaded comment]
Your version of Excel allows you to read this threaded comment; however, any edits to it will get removed if the file is opened in a newer version of Excel. Learn more: https://go.microsoft.com/fwlink/?linkid=870924
Comment:
    Commercial Paper + Current Term Debt + Non current Term debt
</t>
      </text>
    </comment>
    <comment ref="W86" authorId="3" shapeId="0" xr:uid="{00EE597D-0E45-457B-8A05-0C53494D7EC7}">
      <text>
        <r>
          <rPr>
            <b/>
            <sz val="9"/>
            <color indexed="81"/>
            <rFont val="Tahoma"/>
            <family val="2"/>
          </rPr>
          <t>Adrian Wilburn:</t>
        </r>
        <r>
          <rPr>
            <sz val="9"/>
            <color indexed="81"/>
            <rFont val="Tahoma"/>
            <family val="2"/>
          </rPr>
          <t xml:space="preserve">
Cash flow statement
AR + Inventories+ Vendor non trade+OCA + AP + DR + OCL</t>
        </r>
      </text>
    </comment>
    <comment ref="V87" authorId="5" shapeId="0" xr:uid="{1EA04361-DC33-43F4-B80A-BA8851FA268D}">
      <text>
        <t xml:space="preserve">[Threaded comment]
Your version of Excel allows you to read this threaded comment; however, any edits to it will get removed if the file is opened in a newer version of Excel. Learn more: https://go.microsoft.com/fwlink/?linkid=870924
Comment:
    Deferred tax benefit of 895 in 2022 which makes the total years operating cash flow slightly different from what is reflected in financial statements. Not represented here because it seems like a one off thing that I noticed and did not want to add a new line item lol
</t>
      </text>
    </comment>
    <comment ref="X89" authorId="3" shapeId="0" xr:uid="{181BE93E-F26E-4ACD-B62E-2C22F2703DC0}">
      <text>
        <r>
          <rPr>
            <b/>
            <sz val="9"/>
            <color indexed="81"/>
            <rFont val="Tahoma"/>
            <family val="2"/>
          </rPr>
          <t>Adrian Wilburn:</t>
        </r>
        <r>
          <rPr>
            <sz val="9"/>
            <color indexed="81"/>
            <rFont val="Tahoma"/>
            <family val="2"/>
          </rPr>
          <t xml:space="preserve">
Purchase of Marketable Securities + Proceeds from Maturity + Proceeds From Sales. Cash flows</t>
        </r>
      </text>
    </comment>
    <comment ref="W94" authorId="3" shapeId="0" xr:uid="{ED2C8F3A-079F-40DC-9F1C-E3942831D589}">
      <text>
        <r>
          <rPr>
            <b/>
            <sz val="9"/>
            <color indexed="81"/>
            <rFont val="Tahoma"/>
            <family val="2"/>
          </rPr>
          <t>Adrian Wilburn:</t>
        </r>
        <r>
          <rPr>
            <sz val="9"/>
            <color indexed="81"/>
            <rFont val="Tahoma"/>
            <family val="2"/>
          </rPr>
          <t xml:space="preserve">
Payments related to taxes Cashflow
</t>
        </r>
      </text>
    </comment>
    <comment ref="W97" authorId="3" shapeId="0" xr:uid="{B8996CBB-A477-4B2F-9A00-490F500ACB1B}">
      <text>
        <r>
          <rPr>
            <b/>
            <sz val="9"/>
            <color indexed="81"/>
            <rFont val="Tahoma"/>
            <family val="2"/>
          </rPr>
          <t>Adrian Wilburn:</t>
        </r>
        <r>
          <rPr>
            <sz val="9"/>
            <color indexed="81"/>
            <rFont val="Tahoma"/>
            <family val="2"/>
          </rPr>
          <t xml:space="preserve">
Repayments of term debt + repayment of commercial paper + proceeds from issuance of term debt</t>
        </r>
      </text>
    </comment>
  </commentList>
</comments>
</file>

<file path=xl/sharedStrings.xml><?xml version="1.0" encoding="utf-8"?>
<sst xmlns="http://schemas.openxmlformats.org/spreadsheetml/2006/main" count="329" uniqueCount="194">
  <si>
    <t>FQ118</t>
  </si>
  <si>
    <t>FQ218</t>
  </si>
  <si>
    <t>FQ318</t>
  </si>
  <si>
    <t>FQ418</t>
  </si>
  <si>
    <t>FQ119</t>
  </si>
  <si>
    <t>FQ219</t>
  </si>
  <si>
    <t>FQ319</t>
  </si>
  <si>
    <t>FQ419</t>
  </si>
  <si>
    <t>FQ120</t>
  </si>
  <si>
    <t>FQ220</t>
  </si>
  <si>
    <t>FQ320</t>
  </si>
  <si>
    <t>FQ420</t>
  </si>
  <si>
    <t>FQ121</t>
  </si>
  <si>
    <t>FQ221</t>
  </si>
  <si>
    <t>FQ321</t>
  </si>
  <si>
    <t>FQ421</t>
  </si>
  <si>
    <t>FQ122</t>
  </si>
  <si>
    <t>FQ222</t>
  </si>
  <si>
    <t>FQ322</t>
  </si>
  <si>
    <t>FQ422</t>
  </si>
  <si>
    <t>FQ123</t>
  </si>
  <si>
    <t>FQ223</t>
  </si>
  <si>
    <t>FQ323</t>
  </si>
  <si>
    <t>FQ423</t>
  </si>
  <si>
    <t xml:space="preserve">Fundamental Analysis of Apple </t>
  </si>
  <si>
    <t>x</t>
  </si>
  <si>
    <t>CEO</t>
  </si>
  <si>
    <t>CFO</t>
  </si>
  <si>
    <t>COO</t>
  </si>
  <si>
    <t>Founded</t>
  </si>
  <si>
    <t>IPO</t>
  </si>
  <si>
    <t>Location</t>
  </si>
  <si>
    <t>Phone</t>
  </si>
  <si>
    <t>Model Summary</t>
  </si>
  <si>
    <t>Tim Cook</t>
  </si>
  <si>
    <t>Jeff Williams</t>
  </si>
  <si>
    <t>Luca Maestri</t>
  </si>
  <si>
    <t>Cupertino California 1 Apple Park Way, Cupertino, CA 95014</t>
  </si>
  <si>
    <t>Americas</t>
  </si>
  <si>
    <t>Europe</t>
  </si>
  <si>
    <t>China</t>
  </si>
  <si>
    <t>Japan</t>
  </si>
  <si>
    <t>APAC</t>
  </si>
  <si>
    <t>iPhone</t>
  </si>
  <si>
    <t xml:space="preserve">  Units</t>
  </si>
  <si>
    <t xml:space="preserve">  ASP</t>
  </si>
  <si>
    <t>Mac</t>
  </si>
  <si>
    <t>iPad</t>
  </si>
  <si>
    <t>Products</t>
  </si>
  <si>
    <t>Services</t>
  </si>
  <si>
    <t>Revenue</t>
  </si>
  <si>
    <t>COP</t>
  </si>
  <si>
    <t>COS</t>
  </si>
  <si>
    <t>COGS</t>
  </si>
  <si>
    <t>Gross Profit</t>
  </si>
  <si>
    <t>R&amp;D</t>
  </si>
  <si>
    <t>SG&amp;A</t>
  </si>
  <si>
    <t>OpEx</t>
  </si>
  <si>
    <t>OpInc</t>
  </si>
  <si>
    <t>Interest</t>
  </si>
  <si>
    <t>Pretax Income</t>
  </si>
  <si>
    <t>Taxes</t>
  </si>
  <si>
    <t>Net Income</t>
  </si>
  <si>
    <t>EPS</t>
  </si>
  <si>
    <t>Shares</t>
  </si>
  <si>
    <t>Revenue y/y</t>
  </si>
  <si>
    <t>iPhone y/y</t>
  </si>
  <si>
    <t>Services y/y</t>
  </si>
  <si>
    <t>Gross Margin</t>
  </si>
  <si>
    <t>Services Margin</t>
  </si>
  <si>
    <t>Products Margin</t>
  </si>
  <si>
    <t>Operating Margin</t>
  </si>
  <si>
    <t>Tax Rate</t>
  </si>
  <si>
    <t>Employees</t>
  </si>
  <si>
    <t>Net Cash</t>
  </si>
  <si>
    <t>Cash</t>
  </si>
  <si>
    <t>AR</t>
  </si>
  <si>
    <t>Inventories</t>
  </si>
  <si>
    <t>VTR</t>
  </si>
  <si>
    <t>OCA</t>
  </si>
  <si>
    <t>PP&amp;E</t>
  </si>
  <si>
    <t>ONCA</t>
  </si>
  <si>
    <t>Assets</t>
  </si>
  <si>
    <t>AP</t>
  </si>
  <si>
    <t>OCL</t>
  </si>
  <si>
    <t>DR</t>
  </si>
  <si>
    <t>Debt</t>
  </si>
  <si>
    <t>ONCL</t>
  </si>
  <si>
    <t>SE</t>
  </si>
  <si>
    <t>L+SE</t>
  </si>
  <si>
    <t>Model NI</t>
  </si>
  <si>
    <t>Reported NI</t>
  </si>
  <si>
    <t>D&amp;A</t>
  </si>
  <si>
    <t>SBC</t>
  </si>
  <si>
    <t>Other</t>
  </si>
  <si>
    <t>WC</t>
  </si>
  <si>
    <t>CFFO</t>
  </si>
  <si>
    <t>Securities</t>
  </si>
  <si>
    <t>CapEx</t>
  </si>
  <si>
    <t>CFFI</t>
  </si>
  <si>
    <t>ESOP Tax</t>
  </si>
  <si>
    <t>Dividends</t>
  </si>
  <si>
    <t>Buybacks</t>
  </si>
  <si>
    <t>CFFF</t>
  </si>
  <si>
    <t>CIC</t>
  </si>
  <si>
    <t>Wearables and Home</t>
  </si>
  <si>
    <t>Products y/y</t>
  </si>
  <si>
    <t>Mac y/y</t>
  </si>
  <si>
    <t>Ipad y/y</t>
  </si>
  <si>
    <t>Wearables and Home y/y</t>
  </si>
  <si>
    <t>F1998</t>
  </si>
  <si>
    <t>F1999</t>
  </si>
  <si>
    <t>F2000</t>
  </si>
  <si>
    <t>F2001</t>
  </si>
  <si>
    <t>F2002</t>
  </si>
  <si>
    <t>F2003</t>
  </si>
  <si>
    <t>F2004</t>
  </si>
  <si>
    <t>F2005</t>
  </si>
  <si>
    <t>F2006</t>
  </si>
  <si>
    <t>F2007</t>
  </si>
  <si>
    <t>F2008</t>
  </si>
  <si>
    <t>F2009</t>
  </si>
  <si>
    <t>F2010</t>
  </si>
  <si>
    <t>F2011</t>
  </si>
  <si>
    <t>F2012</t>
  </si>
  <si>
    <t>F2013</t>
  </si>
  <si>
    <t>F2014</t>
  </si>
  <si>
    <t>F2015</t>
  </si>
  <si>
    <t>F2016</t>
  </si>
  <si>
    <t>F2017</t>
  </si>
  <si>
    <t>F2018</t>
  </si>
  <si>
    <t>F2019</t>
  </si>
  <si>
    <t>F2020</t>
  </si>
  <si>
    <t>F2021</t>
  </si>
  <si>
    <t>F2022</t>
  </si>
  <si>
    <t>F2023</t>
  </si>
  <si>
    <t>F2024</t>
  </si>
  <si>
    <t>F2025</t>
  </si>
  <si>
    <t>F2026</t>
  </si>
  <si>
    <t>F2027</t>
  </si>
  <si>
    <t>F2028</t>
  </si>
  <si>
    <t>F2029</t>
  </si>
  <si>
    <t>F2030</t>
  </si>
  <si>
    <t>F2031</t>
  </si>
  <si>
    <t>F2032</t>
  </si>
  <si>
    <t>F2033</t>
  </si>
  <si>
    <t>F2034</t>
  </si>
  <si>
    <t>F2035</t>
  </si>
  <si>
    <t>F2036</t>
  </si>
  <si>
    <t>F2037</t>
  </si>
  <si>
    <t>F2038</t>
  </si>
  <si>
    <t>F2039</t>
  </si>
  <si>
    <t>F2040</t>
  </si>
  <si>
    <t>Product % of Sales</t>
  </si>
  <si>
    <t>1. Apple successfully moves from maximizing hardware shipments to maximizing installed user base monetization</t>
  </si>
  <si>
    <t xml:space="preserve">2. Iphone continues to see resilient demand and trends toward their higher end models </t>
  </si>
  <si>
    <t xml:space="preserve">3. Long term investments in AR, payments, health, autos, and Home pays off and builds monetizable ecosystem. Apple Vision Pro does well </t>
  </si>
  <si>
    <t>Business Segments and Revenue</t>
  </si>
  <si>
    <t xml:space="preserve">Products </t>
  </si>
  <si>
    <t>1. Shortages within the Chinese supply chain continue and remain material, impacting margins</t>
  </si>
  <si>
    <t>2. Consumer demand weakens with a weaker macro enviornment an Iphone and other product sales decline</t>
  </si>
  <si>
    <t>3. More competition within China and India and increased regulation surrounding Apple ecosystem, specifically App Store</t>
  </si>
  <si>
    <t xml:space="preserve">4. Apple Vision Pro does not live up to expectations. </t>
  </si>
  <si>
    <t>Iphone</t>
  </si>
  <si>
    <t>Ipad</t>
  </si>
  <si>
    <t xml:space="preserve">Wearables and Home </t>
  </si>
  <si>
    <t>Apple Care</t>
  </si>
  <si>
    <t>Wearables and Home Growth</t>
  </si>
  <si>
    <t>Mac Growth</t>
  </si>
  <si>
    <t>Base</t>
  </si>
  <si>
    <t>Bull</t>
  </si>
  <si>
    <t>Bear</t>
  </si>
  <si>
    <t>Switch</t>
  </si>
  <si>
    <t>Services Growth</t>
  </si>
  <si>
    <t>COP as % of Revenue</t>
  </si>
  <si>
    <t>COS as % of Revenue</t>
  </si>
  <si>
    <t>R&amp;D as % of Revenue</t>
  </si>
  <si>
    <t>R&amp;D as % of rev</t>
  </si>
  <si>
    <t>SG&amp;A as % of Rev</t>
  </si>
  <si>
    <t>Discount</t>
  </si>
  <si>
    <t>Terminal</t>
  </si>
  <si>
    <t>NPV</t>
  </si>
  <si>
    <t>Model Share Price</t>
  </si>
  <si>
    <t>Upside</t>
  </si>
  <si>
    <t>SG&amp;A as a % of Revenue</t>
  </si>
  <si>
    <t>MC</t>
  </si>
  <si>
    <t>EV</t>
  </si>
  <si>
    <t xml:space="preserve">Price </t>
  </si>
  <si>
    <t>Inputs</t>
  </si>
  <si>
    <t>IPhone Growth</t>
  </si>
  <si>
    <t>IPad Growth</t>
  </si>
  <si>
    <t>Bear Case</t>
  </si>
  <si>
    <t>Bull Case</t>
  </si>
  <si>
    <t>FQ124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</si>
</sst>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d/yy;@"/>
    <numFmt numFmtId="165" formatCode="[&lt;=9999999]###\-####;\(###\)\ ###\-####"/>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0"/>
      <color theme="1"/>
      <name val="Arial"/>
      <family val="2"/>
    </font>
    <font>
      <i/>
      <sz val="10"/>
      <color theme="1"/>
      <name val="Arial"/>
      <family val="2"/>
    </font>
    <font>
      <sz val="9"/>
      <color indexed="81"/>
      <name val="Tahoma"/>
      <charset val="1"/>
    </font>
    <font>
      <b/>
      <sz val="9"/>
      <color indexed="81"/>
      <name val="Tahoma"/>
      <charset val="1"/>
    </font>
    <font>
      <sz val="9"/>
      <color indexed="81"/>
      <name val="Tahoma"/>
      <family val="2"/>
    </font>
    <font>
      <b/>
      <sz val="9"/>
      <color indexed="81"/>
      <name val="Tahoma"/>
      <family val="2"/>
    </font>
    <font>
      <sz val="11"/>
      <color rgb="FF0070C0"/>
      <name val="Calibri"/>
      <family val="2"/>
      <scheme val="minor"/>
    </font>
    <font>
      <sz val="10"/>
      <color theme="1"/>
      <name val="Arial"/>
      <family val="2"/>
    </font>
    <font>
      <b/>
      <sz val="11"/>
      <color rgb="FF0070C0"/>
      <name val="Calibri"/>
      <family val="2"/>
      <scheme val="minor"/>
    </font>
  </fonts>
  <fills count="5">
    <fill>
      <patternFill patternType="none"/>
    </fill>
    <fill>
      <patternFill patternType="gray125"/>
    </fill>
    <fill>
      <patternFill patternType="solid">
        <fgColor rgb="FFFFFFCC"/>
      </patternFill>
    </fill>
    <fill>
      <patternFill patternType="solid">
        <fgColor theme="4"/>
      </patternFill>
    </fill>
    <fill>
      <patternFill patternType="solid">
        <fgColor rgb="FFFFFF00"/>
        <bgColor indexed="64"/>
      </patternFill>
    </fill>
  </fills>
  <borders count="7">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right style="thin">
        <color indexed="64"/>
      </right>
      <top/>
      <bottom style="thick">
        <color theme="4" tint="0.499984740745262"/>
      </bottom>
      <diagonal/>
    </border>
    <border>
      <left/>
      <right/>
      <top style="thin">
        <color indexed="64"/>
      </top>
      <bottom/>
      <diagonal/>
    </border>
    <border>
      <left/>
      <right style="thin">
        <color rgb="FFB2B2B2"/>
      </right>
      <top style="thin">
        <color rgb="FFB2B2B2"/>
      </top>
      <bottom style="thin">
        <color rgb="FFB2B2B2"/>
      </bottom>
      <diagonal/>
    </border>
  </borders>
  <cellStyleXfs count="3">
    <xf numFmtId="0" fontId="0" fillId="0" borderId="0"/>
    <xf numFmtId="0" fontId="1" fillId="2" borderId="2" applyNumberFormat="0" applyFont="0" applyAlignment="0" applyProtection="0"/>
    <xf numFmtId="0" fontId="3" fillId="3" borderId="0" applyNumberFormat="0" applyBorder="0" applyAlignment="0" applyProtection="0"/>
  </cellStyleXfs>
  <cellXfs count="57">
    <xf numFmtId="0" fontId="0" fillId="0" borderId="0" xfId="0"/>
    <xf numFmtId="0" fontId="0" fillId="0" borderId="0" xfId="0" applyAlignment="1">
      <alignment horizontal="right"/>
    </xf>
    <xf numFmtId="14" fontId="0" fillId="0" borderId="0" xfId="0" applyNumberFormat="1"/>
    <xf numFmtId="164" fontId="0" fillId="0" borderId="0" xfId="0" applyNumberFormat="1"/>
    <xf numFmtId="165" fontId="0" fillId="0" borderId="0" xfId="0" applyNumberFormat="1"/>
    <xf numFmtId="0" fontId="2" fillId="0" borderId="0" xfId="0" applyFont="1"/>
    <xf numFmtId="0" fontId="4" fillId="0" borderId="0" xfId="0" applyFont="1"/>
    <xf numFmtId="10" fontId="0" fillId="0" borderId="0" xfId="0" applyNumberFormat="1"/>
    <xf numFmtId="0" fontId="0" fillId="0" borderId="0" xfId="0" applyAlignment="1">
      <alignment horizontal="left"/>
    </xf>
    <xf numFmtId="3" fontId="0" fillId="0" borderId="0" xfId="0" applyNumberFormat="1"/>
    <xf numFmtId="3" fontId="5" fillId="0" borderId="0" xfId="0" applyNumberFormat="1" applyFont="1"/>
    <xf numFmtId="0" fontId="5" fillId="0" borderId="0" xfId="0" applyFont="1"/>
    <xf numFmtId="3" fontId="0" fillId="0" borderId="0" xfId="0" applyNumberFormat="1" applyAlignment="1">
      <alignment horizontal="right"/>
    </xf>
    <xf numFmtId="3" fontId="6" fillId="0" borderId="0" xfId="0" applyNumberFormat="1" applyFont="1" applyAlignment="1">
      <alignment horizontal="right"/>
    </xf>
    <xf numFmtId="4" fontId="5" fillId="0" borderId="0" xfId="0" applyNumberFormat="1" applyFont="1"/>
    <xf numFmtId="9" fontId="5" fillId="0" borderId="0" xfId="0" applyNumberFormat="1" applyFont="1"/>
    <xf numFmtId="9" fontId="0" fillId="0" borderId="0" xfId="0" applyNumberFormat="1"/>
    <xf numFmtId="9" fontId="0" fillId="0" borderId="0" xfId="0" applyNumberFormat="1" applyAlignment="1">
      <alignment horizontal="right"/>
    </xf>
    <xf numFmtId="164" fontId="0" fillId="0" borderId="3" xfId="0" applyNumberFormat="1" applyBorder="1"/>
    <xf numFmtId="0" fontId="0" fillId="0" borderId="3" xfId="0" applyBorder="1" applyAlignment="1">
      <alignment horizontal="right"/>
    </xf>
    <xf numFmtId="3" fontId="0" fillId="0" borderId="3" xfId="0" applyNumberFormat="1" applyBorder="1" applyAlignment="1">
      <alignment horizontal="right"/>
    </xf>
    <xf numFmtId="3" fontId="0" fillId="0" borderId="3" xfId="0" applyNumberFormat="1" applyBorder="1"/>
    <xf numFmtId="0" fontId="0" fillId="0" borderId="3" xfId="0" applyBorder="1"/>
    <xf numFmtId="9" fontId="5" fillId="0" borderId="3" xfId="0" applyNumberFormat="1" applyFont="1" applyBorder="1"/>
    <xf numFmtId="9" fontId="0" fillId="0" borderId="3" xfId="0" applyNumberFormat="1" applyBorder="1"/>
    <xf numFmtId="37" fontId="0" fillId="0" borderId="0" xfId="0" applyNumberFormat="1" applyAlignment="1">
      <alignment horizontal="right"/>
    </xf>
    <xf numFmtId="37" fontId="0" fillId="0" borderId="0" xfId="0" applyNumberFormat="1"/>
    <xf numFmtId="10" fontId="5" fillId="0" borderId="0" xfId="0" applyNumberFormat="1" applyFont="1"/>
    <xf numFmtId="4" fontId="0" fillId="0" borderId="0" xfId="0" applyNumberFormat="1"/>
    <xf numFmtId="0" fontId="0" fillId="4" borderId="0" xfId="0" applyFill="1"/>
    <xf numFmtId="37" fontId="0" fillId="0" borderId="3" xfId="0" applyNumberFormat="1" applyBorder="1"/>
    <xf numFmtId="37" fontId="2" fillId="0" borderId="0" xfId="0" applyNumberFormat="1" applyFont="1"/>
    <xf numFmtId="9" fontId="11" fillId="0" borderId="0" xfId="0" applyNumberFormat="1" applyFont="1"/>
    <xf numFmtId="39" fontId="2" fillId="0" borderId="0" xfId="0" applyNumberFormat="1" applyFont="1"/>
    <xf numFmtId="37" fontId="0" fillId="0" borderId="3" xfId="0" applyNumberFormat="1" applyBorder="1" applyAlignment="1">
      <alignment horizontal="right"/>
    </xf>
    <xf numFmtId="37" fontId="5" fillId="0" borderId="0" xfId="0" applyNumberFormat="1" applyFont="1"/>
    <xf numFmtId="37" fontId="5" fillId="0" borderId="3" xfId="0" applyNumberFormat="1" applyFont="1" applyBorder="1"/>
    <xf numFmtId="39" fontId="5" fillId="0" borderId="0" xfId="0" applyNumberFormat="1" applyFont="1"/>
    <xf numFmtId="39" fontId="5" fillId="0" borderId="3" xfId="0" applyNumberFormat="1" applyFont="1" applyBorder="1"/>
    <xf numFmtId="9" fontId="12" fillId="0" borderId="0" xfId="0" applyNumberFormat="1" applyFont="1"/>
    <xf numFmtId="9" fontId="12" fillId="0" borderId="3" xfId="0" applyNumberFormat="1" applyFont="1" applyBorder="1"/>
    <xf numFmtId="3" fontId="12" fillId="0" borderId="0" xfId="0" applyNumberFormat="1" applyFont="1"/>
    <xf numFmtId="10" fontId="0" fillId="0" borderId="0" xfId="0" applyNumberFormat="1" applyAlignment="1">
      <alignment horizontal="right"/>
    </xf>
    <xf numFmtId="37" fontId="11" fillId="0" borderId="0" xfId="0" applyNumberFormat="1" applyFont="1"/>
    <xf numFmtId="37" fontId="13" fillId="0" borderId="0" xfId="0" applyNumberFormat="1" applyFont="1"/>
    <xf numFmtId="39" fontId="13" fillId="0" borderId="0" xfId="0" applyNumberFormat="1" applyFont="1"/>
    <xf numFmtId="8" fontId="0" fillId="0" borderId="0" xfId="0" applyNumberFormat="1" applyAlignment="1">
      <alignment horizontal="right"/>
    </xf>
    <xf numFmtId="0" fontId="0" fillId="0" borderId="0" xfId="0" applyAlignment="1">
      <alignment horizontal="center"/>
    </xf>
    <xf numFmtId="9" fontId="0" fillId="0" borderId="0" xfId="0" applyNumberFormat="1" applyAlignment="1">
      <alignment horizontal="center"/>
    </xf>
    <xf numFmtId="0" fontId="3" fillId="3" borderId="1" xfId="2" applyBorder="1" applyAlignment="1">
      <alignment horizontal="center"/>
    </xf>
    <xf numFmtId="0" fontId="3" fillId="3" borderId="4" xfId="2" applyBorder="1" applyAlignment="1">
      <alignment horizontal="center"/>
    </xf>
    <xf numFmtId="0" fontId="0" fillId="0" borderId="3" xfId="0" applyBorder="1" applyAlignment="1">
      <alignment horizontal="center"/>
    </xf>
    <xf numFmtId="0" fontId="0" fillId="0" borderId="5" xfId="0" applyBorder="1"/>
    <xf numFmtId="37" fontId="0" fillId="2" borderId="6" xfId="1" applyNumberFormat="1" applyFont="1" applyBorder="1"/>
    <xf numFmtId="37" fontId="2" fillId="0" borderId="3" xfId="0" applyNumberFormat="1" applyFont="1" applyBorder="1"/>
    <xf numFmtId="39" fontId="2" fillId="0" borderId="3" xfId="0" applyNumberFormat="1" applyFont="1" applyBorder="1"/>
    <xf numFmtId="10" fontId="0" fillId="0" borderId="3" xfId="0" applyNumberFormat="1" applyBorder="1" applyAlignment="1">
      <alignment horizontal="right"/>
    </xf>
  </cellXfs>
  <cellStyles count="3">
    <cellStyle name="Accent1" xfId="2" builtinId="29"/>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Wilburn, Adrian Karle" id="{FEB4AD0F-BE81-4FDC-AC69-E849C8E7A854}" userId="S::akwilbur@iu.edu::495a91f4-81c2-4939-b44c-da32bdbaf3e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0" dT="2023-06-18T22:09:24.90" personId="{FEB4AD0F-BE81-4FDC-AC69-E849C8E7A854}" id="{5C085A6D-9EC1-44D4-9737-5A4821A6992A}">
    <text>Iphone 12 Launch</text>
  </threadedComment>
  <threadedComment ref="R20" dT="2023-06-18T22:09:00.76" personId="{FEB4AD0F-BE81-4FDC-AC69-E849C8E7A854}" id="{801287BC-2389-4FFA-A969-16FD0BDFB3A5}">
    <text>Iphone 13 launch</text>
  </threadedComment>
  <threadedComment ref="G21" dT="2023-06-18T22:10:01.10" personId="{FEB4AD0F-BE81-4FDC-AC69-E849C8E7A854}" id="{C7C13230-C9FE-43D5-82BC-4C5006E4353D}">
    <text>Statista</text>
  </threadedComment>
  <threadedComment ref="Y76" dT="2023-08-27T15:23:21.56" personId="{FEB4AD0F-BE81-4FDC-AC69-E849C8E7A854}" id="{7030A8F2-0272-46E4-A56A-631750A4E228}">
    <text xml:space="preserve">Commercial Paper + Current Term Debt + Non current Term debt
</text>
  </threadedComment>
  <threadedComment ref="V87" dT="2023-08-27T15:39:12.01" personId="{FEB4AD0F-BE81-4FDC-AC69-E849C8E7A854}" id="{1EA04361-DC33-43F4-B80A-BA8851FA268D}">
    <text xml:space="preserve">Deferred tax benefit of 895 in 2022 which makes the total years operating cash flow slightly different from what is reflected in financial statements. Not represented here because it seems like a one off thing that I noticed and did not want to add a new line item lol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45296-FAFC-4A53-8DD1-78F6B5D066E9}">
  <dimension ref="A2:S76"/>
  <sheetViews>
    <sheetView workbookViewId="0">
      <selection activeCell="C17" sqref="C17"/>
    </sheetView>
  </sheetViews>
  <sheetFormatPr defaultRowHeight="14.5" x14ac:dyDescent="0.35"/>
  <cols>
    <col min="1" max="1" width="1.7265625" bestFit="1" customWidth="1"/>
    <col min="3" max="3" width="25.90625" bestFit="1" customWidth="1"/>
    <col min="4" max="4" width="13" bestFit="1" customWidth="1"/>
    <col min="7" max="7" width="9.36328125" bestFit="1" customWidth="1"/>
  </cols>
  <sheetData>
    <row r="2" spans="1:19" ht="18.5" x14ac:dyDescent="0.45">
      <c r="A2" t="s">
        <v>25</v>
      </c>
      <c r="B2" s="6" t="s">
        <v>24</v>
      </c>
    </row>
    <row r="5" spans="1:19" x14ac:dyDescent="0.35">
      <c r="A5" t="s">
        <v>25</v>
      </c>
      <c r="B5" t="s">
        <v>26</v>
      </c>
      <c r="C5" t="s">
        <v>34</v>
      </c>
    </row>
    <row r="6" spans="1:19" x14ac:dyDescent="0.35">
      <c r="B6" t="s">
        <v>27</v>
      </c>
      <c r="C6" t="s">
        <v>36</v>
      </c>
    </row>
    <row r="7" spans="1:19" x14ac:dyDescent="0.35">
      <c r="B7" t="s">
        <v>28</v>
      </c>
      <c r="C7" t="s">
        <v>35</v>
      </c>
    </row>
    <row r="8" spans="1:19" x14ac:dyDescent="0.35">
      <c r="B8" t="s">
        <v>29</v>
      </c>
      <c r="C8" s="2">
        <v>27851</v>
      </c>
    </row>
    <row r="9" spans="1:19" x14ac:dyDescent="0.35">
      <c r="B9" t="s">
        <v>30</v>
      </c>
      <c r="C9" s="2">
        <v>29567</v>
      </c>
    </row>
    <row r="10" spans="1:19" x14ac:dyDescent="0.35">
      <c r="B10" t="s">
        <v>31</v>
      </c>
      <c r="C10" t="s">
        <v>37</v>
      </c>
    </row>
    <row r="11" spans="1:19" x14ac:dyDescent="0.35">
      <c r="A11" t="s">
        <v>25</v>
      </c>
      <c r="B11" t="s">
        <v>32</v>
      </c>
      <c r="C11" s="4">
        <v>4089961010</v>
      </c>
    </row>
    <row r="16" spans="1:19" ht="18.5" x14ac:dyDescent="0.45">
      <c r="A16" t="s">
        <v>25</v>
      </c>
      <c r="B16" s="6" t="s">
        <v>192</v>
      </c>
      <c r="S16" s="7"/>
    </row>
    <row r="17" spans="1:19" x14ac:dyDescent="0.35">
      <c r="S17" s="7"/>
    </row>
    <row r="18" spans="1:19" x14ac:dyDescent="0.35">
      <c r="B18" t="s">
        <v>154</v>
      </c>
      <c r="S18" s="7"/>
    </row>
    <row r="19" spans="1:19" x14ac:dyDescent="0.35">
      <c r="B19" t="s">
        <v>155</v>
      </c>
      <c r="S19" s="7"/>
    </row>
    <row r="20" spans="1:19" x14ac:dyDescent="0.35">
      <c r="B20" t="s">
        <v>156</v>
      </c>
    </row>
    <row r="21" spans="1:19" x14ac:dyDescent="0.35">
      <c r="S21" s="7"/>
    </row>
    <row r="24" spans="1:19" ht="18.5" x14ac:dyDescent="0.45">
      <c r="A24" t="s">
        <v>25</v>
      </c>
      <c r="B24" s="6" t="s">
        <v>191</v>
      </c>
    </row>
    <row r="26" spans="1:19" x14ac:dyDescent="0.35">
      <c r="B26" t="s">
        <v>159</v>
      </c>
    </row>
    <row r="27" spans="1:19" x14ac:dyDescent="0.35">
      <c r="B27" t="s">
        <v>160</v>
      </c>
    </row>
    <row r="28" spans="1:19" x14ac:dyDescent="0.35">
      <c r="B28" t="s">
        <v>161</v>
      </c>
    </row>
    <row r="29" spans="1:19" x14ac:dyDescent="0.35">
      <c r="B29" t="s">
        <v>162</v>
      </c>
    </row>
    <row r="32" spans="1:19" ht="18.5" x14ac:dyDescent="0.45">
      <c r="A32" t="s">
        <v>25</v>
      </c>
      <c r="B32" s="6" t="s">
        <v>157</v>
      </c>
    </row>
    <row r="34" spans="1:2" x14ac:dyDescent="0.35">
      <c r="B34" s="5" t="s">
        <v>158</v>
      </c>
    </row>
    <row r="35" spans="1:2" x14ac:dyDescent="0.35">
      <c r="B35" t="s">
        <v>163</v>
      </c>
    </row>
    <row r="36" spans="1:2" x14ac:dyDescent="0.35">
      <c r="B36" t="s">
        <v>46</v>
      </c>
    </row>
    <row r="37" spans="1:2" x14ac:dyDescent="0.35">
      <c r="B37" t="s">
        <v>164</v>
      </c>
    </row>
    <row r="38" spans="1:2" x14ac:dyDescent="0.35">
      <c r="B38" t="s">
        <v>165</v>
      </c>
    </row>
    <row r="40" spans="1:2" x14ac:dyDescent="0.35">
      <c r="B40" s="5" t="s">
        <v>49</v>
      </c>
    </row>
    <row r="41" spans="1:2" x14ac:dyDescent="0.35">
      <c r="B41" t="s">
        <v>166</v>
      </c>
    </row>
    <row r="43" spans="1:2" ht="18.5" x14ac:dyDescent="0.45">
      <c r="A43" t="s">
        <v>25</v>
      </c>
      <c r="B43" s="6" t="s">
        <v>33</v>
      </c>
    </row>
    <row r="53" spans="2:8" x14ac:dyDescent="0.35">
      <c r="B53" s="1"/>
      <c r="C53" s="1"/>
      <c r="D53" s="1"/>
      <c r="E53" s="1"/>
      <c r="F53" s="1"/>
      <c r="G53" s="1"/>
    </row>
    <row r="54" spans="2:8" ht="15" thickBot="1" x14ac:dyDescent="0.4">
      <c r="B54" s="19"/>
      <c r="C54" s="49" t="s">
        <v>188</v>
      </c>
      <c r="D54" s="49" t="s">
        <v>170</v>
      </c>
      <c r="E54" s="49" t="s">
        <v>169</v>
      </c>
      <c r="F54" s="49" t="s">
        <v>171</v>
      </c>
      <c r="G54" s="50" t="s">
        <v>172</v>
      </c>
    </row>
    <row r="55" spans="2:8" ht="15" thickTop="1" x14ac:dyDescent="0.35">
      <c r="B55" s="19"/>
      <c r="C55" s="1"/>
      <c r="D55" s="47">
        <v>1</v>
      </c>
      <c r="E55" s="47">
        <v>2</v>
      </c>
      <c r="F55" s="47">
        <v>3</v>
      </c>
      <c r="G55" s="51"/>
    </row>
    <row r="56" spans="2:8" x14ac:dyDescent="0.35">
      <c r="B56" s="22"/>
      <c r="C56" s="1" t="s">
        <v>189</v>
      </c>
      <c r="D56" s="48">
        <f>E56+0.02</f>
        <v>6.5000000000000002E-2</v>
      </c>
      <c r="E56" s="48">
        <v>4.4999999999999998E-2</v>
      </c>
      <c r="F56" s="48">
        <f>E56-0.03</f>
        <v>1.4999999999999999E-2</v>
      </c>
      <c r="G56" s="51">
        <v>2</v>
      </c>
    </row>
    <row r="57" spans="2:8" x14ac:dyDescent="0.35">
      <c r="B57" s="19"/>
      <c r="C57" s="1" t="s">
        <v>168</v>
      </c>
      <c r="D57" s="48">
        <f>E57+0.05</f>
        <v>0.09</v>
      </c>
      <c r="E57" s="48">
        <v>0.04</v>
      </c>
      <c r="F57" s="48">
        <f>E57-0.02</f>
        <v>0.02</v>
      </c>
      <c r="G57" s="51">
        <v>2</v>
      </c>
    </row>
    <row r="58" spans="2:8" x14ac:dyDescent="0.35">
      <c r="B58" s="19"/>
      <c r="C58" s="1" t="s">
        <v>190</v>
      </c>
      <c r="D58" s="48">
        <f>E58+0.02</f>
        <v>0.06</v>
      </c>
      <c r="E58" s="48">
        <v>0.04</v>
      </c>
      <c r="F58" s="48">
        <f>E58-0.02</f>
        <v>0.02</v>
      </c>
      <c r="G58" s="51">
        <v>2</v>
      </c>
      <c r="H58" s="1"/>
    </row>
    <row r="59" spans="2:8" x14ac:dyDescent="0.35">
      <c r="B59" s="19"/>
      <c r="C59" s="1" t="s">
        <v>167</v>
      </c>
      <c r="D59" s="48">
        <f>E59+0.02</f>
        <v>0.11</v>
      </c>
      <c r="E59" s="48">
        <v>0.09</v>
      </c>
      <c r="F59" s="48">
        <f>E59-0.02</f>
        <v>6.9999999999999993E-2</v>
      </c>
      <c r="G59" s="51">
        <v>2</v>
      </c>
      <c r="H59" s="1"/>
    </row>
    <row r="60" spans="2:8" x14ac:dyDescent="0.35">
      <c r="B60" s="19"/>
      <c r="C60" s="1" t="s">
        <v>173</v>
      </c>
      <c r="D60" s="48">
        <f>E60+0.03</f>
        <v>0.14000000000000001</v>
      </c>
      <c r="E60" s="48">
        <v>0.11</v>
      </c>
      <c r="F60" s="48">
        <f>E60-0.03</f>
        <v>0.08</v>
      </c>
      <c r="G60" s="51">
        <v>2</v>
      </c>
      <c r="H60" s="1"/>
    </row>
    <row r="61" spans="2:8" x14ac:dyDescent="0.35">
      <c r="B61" s="19"/>
      <c r="C61" s="1" t="s">
        <v>175</v>
      </c>
      <c r="D61" s="48">
        <f>E61+0.02</f>
        <v>0.71</v>
      </c>
      <c r="E61" s="48">
        <v>0.69</v>
      </c>
      <c r="F61" s="48">
        <f>E61-0.02</f>
        <v>0.66999999999999993</v>
      </c>
      <c r="G61" s="51">
        <v>2</v>
      </c>
      <c r="H61" s="1"/>
    </row>
    <row r="62" spans="2:8" x14ac:dyDescent="0.35">
      <c r="B62" s="19"/>
      <c r="C62" s="1" t="s">
        <v>174</v>
      </c>
      <c r="D62" s="48">
        <v>0.37</v>
      </c>
      <c r="E62" s="48">
        <v>0.34</v>
      </c>
      <c r="F62" s="48">
        <v>0.32</v>
      </c>
      <c r="G62" s="51">
        <v>2</v>
      </c>
      <c r="H62" s="1"/>
    </row>
    <row r="63" spans="2:8" x14ac:dyDescent="0.35">
      <c r="B63" s="22"/>
      <c r="C63" s="1" t="s">
        <v>184</v>
      </c>
      <c r="D63" s="48">
        <f>E63-0.01</f>
        <v>6.0000000000000005E-2</v>
      </c>
      <c r="E63" s="48">
        <v>7.0000000000000007E-2</v>
      </c>
      <c r="F63" s="48">
        <f>E63+0.01</f>
        <v>0.08</v>
      </c>
      <c r="G63" s="51">
        <v>2</v>
      </c>
      <c r="H63" s="1"/>
    </row>
    <row r="64" spans="2:8" x14ac:dyDescent="0.35">
      <c r="B64" s="22"/>
      <c r="C64" s="1" t="s">
        <v>176</v>
      </c>
      <c r="D64" s="48">
        <v>0.04</v>
      </c>
      <c r="E64" s="48">
        <v>7.0000000000000007E-2</v>
      </c>
      <c r="F64" s="48">
        <v>0.09</v>
      </c>
      <c r="G64" s="51">
        <v>2</v>
      </c>
      <c r="H64" s="1"/>
    </row>
    <row r="65" spans="2:8" x14ac:dyDescent="0.35">
      <c r="B65" s="22"/>
      <c r="C65" s="1" t="s">
        <v>72</v>
      </c>
      <c r="D65" s="48">
        <v>0.14000000000000001</v>
      </c>
      <c r="E65" s="48">
        <v>0.15</v>
      </c>
      <c r="F65" s="48">
        <v>0.16</v>
      </c>
      <c r="G65" s="51">
        <v>2</v>
      </c>
      <c r="H65" s="1"/>
    </row>
    <row r="66" spans="2:8" x14ac:dyDescent="0.35">
      <c r="B66" s="22"/>
      <c r="G66" s="22"/>
      <c r="H66" s="1"/>
    </row>
    <row r="67" spans="2:8" x14ac:dyDescent="0.35">
      <c r="B67" s="22"/>
      <c r="G67" s="22"/>
      <c r="H67" s="1"/>
    </row>
    <row r="68" spans="2:8" x14ac:dyDescent="0.35">
      <c r="B68" s="22"/>
      <c r="C68" s="1"/>
      <c r="D68" s="1"/>
      <c r="E68" s="1"/>
      <c r="F68" s="1"/>
      <c r="G68" s="19"/>
    </row>
    <row r="69" spans="2:8" x14ac:dyDescent="0.35">
      <c r="B69" s="22"/>
      <c r="C69" s="1" t="s">
        <v>179</v>
      </c>
      <c r="D69" s="42">
        <v>7.4999999999999997E-2</v>
      </c>
      <c r="E69" s="1"/>
      <c r="F69" s="1" t="s">
        <v>187</v>
      </c>
      <c r="G69" s="19">
        <v>186.68</v>
      </c>
    </row>
    <row r="70" spans="2:8" x14ac:dyDescent="0.35">
      <c r="B70" s="22"/>
      <c r="C70" s="1" t="s">
        <v>180</v>
      </c>
      <c r="D70" s="17">
        <v>-0.01</v>
      </c>
      <c r="E70" s="1"/>
      <c r="F70" s="1" t="s">
        <v>64</v>
      </c>
      <c r="G70" s="19">
        <v>15847</v>
      </c>
    </row>
    <row r="71" spans="2:8" x14ac:dyDescent="0.35">
      <c r="B71" s="22"/>
      <c r="C71" s="1" t="s">
        <v>181</v>
      </c>
      <c r="D71" s="46">
        <f>Model!BZ24</f>
        <v>2755607.4615399777</v>
      </c>
      <c r="E71" s="1"/>
      <c r="F71" s="1" t="s">
        <v>185</v>
      </c>
      <c r="G71" s="34">
        <f>Model!CC24</f>
        <v>2824009.0506550004</v>
      </c>
    </row>
    <row r="72" spans="2:8" x14ac:dyDescent="0.35">
      <c r="B72" s="22"/>
      <c r="C72" s="1" t="s">
        <v>64</v>
      </c>
      <c r="D72" s="25">
        <f>Model!BZ25</f>
        <v>15811.0355</v>
      </c>
      <c r="E72" s="1"/>
      <c r="F72" s="1" t="s">
        <v>75</v>
      </c>
      <c r="G72" s="20">
        <f>Model!CC25</f>
        <v>166333</v>
      </c>
    </row>
    <row r="73" spans="2:8" x14ac:dyDescent="0.35">
      <c r="B73" s="22"/>
      <c r="C73" s="1" t="s">
        <v>182</v>
      </c>
      <c r="D73" s="46">
        <f>Model!BZ26</f>
        <v>174.28380712572417</v>
      </c>
      <c r="E73" s="1"/>
      <c r="F73" s="1" t="s">
        <v>86</v>
      </c>
      <c r="G73" s="20">
        <f>Model!CC26</f>
        <v>109615</v>
      </c>
    </row>
    <row r="74" spans="2:8" x14ac:dyDescent="0.35">
      <c r="B74" s="22"/>
      <c r="C74" s="1" t="s">
        <v>183</v>
      </c>
      <c r="D74" s="46">
        <f>Model!BZ27</f>
        <v>-4.3261928742758471</v>
      </c>
      <c r="E74" s="1"/>
      <c r="F74" s="1" t="s">
        <v>186</v>
      </c>
      <c r="G74" s="20">
        <f>Model!CC27</f>
        <v>2880727.0506550004</v>
      </c>
    </row>
    <row r="75" spans="2:8" x14ac:dyDescent="0.35">
      <c r="B75" s="22"/>
      <c r="D75" s="7">
        <f>Model!BZ28</f>
        <v>-2.4221448263119907E-2</v>
      </c>
      <c r="E75" s="1"/>
      <c r="F75" s="1"/>
      <c r="G75" s="19"/>
    </row>
    <row r="76" spans="2:8" x14ac:dyDescent="0.35">
      <c r="C76" s="52"/>
      <c r="D76" s="52"/>
      <c r="E76" s="52"/>
      <c r="F76" s="52"/>
      <c r="G76" s="5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3592-B742-4D0C-A4FC-ACDF801BDECE}">
  <dimension ref="A2:FF118"/>
  <sheetViews>
    <sheetView showGridLines="0" tabSelected="1" zoomScale="85" zoomScaleNormal="85" workbookViewId="0">
      <pane xSplit="2" ySplit="3" topLeftCell="BI4" activePane="bottomRight" state="frozen"/>
      <selection pane="topRight" activeCell="C1" sqref="C1"/>
      <selection pane="bottomLeft" activeCell="A4" sqref="A4"/>
      <selection pane="bottomRight" activeCell="BV25" sqref="BV25"/>
    </sheetView>
  </sheetViews>
  <sheetFormatPr defaultRowHeight="14.5" x14ac:dyDescent="0.35"/>
  <cols>
    <col min="1" max="1" width="1.7265625" bestFit="1" customWidth="1"/>
    <col min="2" max="2" width="13.90625" bestFit="1" customWidth="1"/>
    <col min="3" max="3" width="10.453125" bestFit="1" customWidth="1"/>
    <col min="13" max="13" width="9.36328125" bestFit="1" customWidth="1"/>
    <col min="25" max="25" width="11.1796875" bestFit="1" customWidth="1"/>
    <col min="27" max="27" width="11" bestFit="1" customWidth="1"/>
    <col min="55" max="55" width="11" bestFit="1" customWidth="1"/>
    <col min="57" max="58" width="8.54296875" bestFit="1" customWidth="1"/>
    <col min="60" max="60" width="9.54296875" customWidth="1"/>
    <col min="66" max="66" width="14" bestFit="1" customWidth="1"/>
    <col min="68" max="71" width="10.1796875" bestFit="1" customWidth="1"/>
    <col min="77" max="77" width="25.90625" bestFit="1" customWidth="1"/>
    <col min="78" max="78" width="14" bestFit="1" customWidth="1"/>
    <col min="81" max="81" width="10.1796875" bestFit="1" customWidth="1"/>
    <col min="86" max="86" width="14" bestFit="1" customWidth="1"/>
    <col min="89" max="89" width="10.1796875" bestFit="1" customWidth="1"/>
    <col min="92" max="92" width="14" bestFit="1" customWidth="1"/>
    <col min="95" max="95" width="10.1796875" bestFit="1" customWidth="1"/>
  </cols>
  <sheetData>
    <row r="2" spans="1:96" x14ac:dyDescent="0.35">
      <c r="C2" s="3">
        <v>43099</v>
      </c>
      <c r="D2" s="3">
        <v>43190</v>
      </c>
      <c r="E2" s="3">
        <v>43281</v>
      </c>
      <c r="F2" s="3">
        <f>+G2-91</f>
        <v>43373</v>
      </c>
      <c r="G2" s="3">
        <f>+H2-91</f>
        <v>43464</v>
      </c>
      <c r="H2" s="3">
        <f>+I2-91</f>
        <v>43555</v>
      </c>
      <c r="I2" s="3">
        <f>+J2-91</f>
        <v>43646</v>
      </c>
      <c r="J2" s="3">
        <f>+K2-90</f>
        <v>43737</v>
      </c>
      <c r="K2" s="3">
        <v>43827</v>
      </c>
      <c r="L2" s="3">
        <v>43918</v>
      </c>
      <c r="M2" s="3">
        <v>44009</v>
      </c>
      <c r="N2" s="3">
        <v>44100</v>
      </c>
      <c r="O2" s="3">
        <v>44191</v>
      </c>
      <c r="P2" s="3">
        <v>44282</v>
      </c>
      <c r="Q2" s="3">
        <v>44373</v>
      </c>
      <c r="R2" s="3">
        <v>44464</v>
      </c>
      <c r="S2" s="3">
        <v>44555</v>
      </c>
      <c r="T2" s="3">
        <v>44646</v>
      </c>
      <c r="U2" s="3">
        <v>44737</v>
      </c>
      <c r="V2" s="3">
        <v>44828</v>
      </c>
      <c r="W2" s="3">
        <v>44926</v>
      </c>
      <c r="X2" s="3">
        <v>45017</v>
      </c>
      <c r="Y2" s="18">
        <f>X2+90</f>
        <v>45107</v>
      </c>
      <c r="Z2" s="3">
        <f>Y2+92</f>
        <v>45199</v>
      </c>
      <c r="AA2" s="2">
        <v>45285</v>
      </c>
      <c r="AC2" s="3"/>
      <c r="AD2" s="3"/>
      <c r="AE2" s="3"/>
      <c r="AF2" s="3"/>
      <c r="AG2" s="3"/>
      <c r="AH2" s="3"/>
      <c r="AI2" s="3"/>
      <c r="AJ2" s="3"/>
      <c r="AK2" s="3"/>
      <c r="AL2" s="3"/>
      <c r="AM2" s="3"/>
      <c r="AN2" s="3"/>
      <c r="AO2" s="3"/>
      <c r="AP2" s="3"/>
      <c r="AQ2" s="3"/>
      <c r="AR2" s="3"/>
      <c r="AS2" s="3"/>
      <c r="AT2" s="3"/>
      <c r="AU2" s="3"/>
      <c r="AV2" s="3"/>
      <c r="AW2" s="3"/>
      <c r="AX2" s="3"/>
      <c r="AY2" s="3"/>
      <c r="AZ2" s="3">
        <v>44464</v>
      </c>
      <c r="BA2" s="3">
        <v>44828</v>
      </c>
      <c r="BB2" s="3">
        <v>45199</v>
      </c>
      <c r="BC2" s="3">
        <f>BB2+366</f>
        <v>45565</v>
      </c>
      <c r="BD2" s="3">
        <f>BC2+365</f>
        <v>45930</v>
      </c>
      <c r="BE2" s="3">
        <f>BD2+365</f>
        <v>46295</v>
      </c>
      <c r="BF2" s="3">
        <f>BE2+365</f>
        <v>46660</v>
      </c>
      <c r="BG2" s="3">
        <f>BF2+366</f>
        <v>47026</v>
      </c>
      <c r="BH2" s="3">
        <f>BG2+365</f>
        <v>47391</v>
      </c>
      <c r="BI2" s="3">
        <f>BH2+365</f>
        <v>47756</v>
      </c>
      <c r="BJ2" s="3">
        <f>BI2+365</f>
        <v>48121</v>
      </c>
      <c r="BK2" s="3">
        <f>BJ2+366</f>
        <v>48487</v>
      </c>
      <c r="BL2" s="3">
        <f>BK2+365</f>
        <v>48852</v>
      </c>
      <c r="BM2" s="3">
        <f>BL2+365</f>
        <v>49217</v>
      </c>
      <c r="BN2" s="3">
        <f>BM2+365</f>
        <v>49582</v>
      </c>
      <c r="BO2" s="3">
        <f>BN2+366</f>
        <v>49948</v>
      </c>
      <c r="BP2" s="3">
        <f>BO2+365</f>
        <v>50313</v>
      </c>
      <c r="BQ2" s="3">
        <f>BP2+365</f>
        <v>50678</v>
      </c>
      <c r="BR2" s="3">
        <f>BQ2+365</f>
        <v>51043</v>
      </c>
      <c r="BS2" s="3">
        <f>BR2+366</f>
        <v>51409</v>
      </c>
    </row>
    <row r="3" spans="1:96" x14ac:dyDescent="0.35">
      <c r="C3" s="1" t="s">
        <v>0</v>
      </c>
      <c r="D3" s="1" t="s">
        <v>1</v>
      </c>
      <c r="E3" s="1" t="s">
        <v>2</v>
      </c>
      <c r="F3" s="1" t="s">
        <v>3</v>
      </c>
      <c r="G3" s="1" t="s">
        <v>4</v>
      </c>
      <c r="H3" s="1" t="s">
        <v>5</v>
      </c>
      <c r="I3" s="1" t="s">
        <v>6</v>
      </c>
      <c r="J3" s="1" t="s">
        <v>7</v>
      </c>
      <c r="K3" s="1" t="s">
        <v>8</v>
      </c>
      <c r="L3" s="1" t="s">
        <v>9</v>
      </c>
      <c r="M3" s="1" t="s">
        <v>10</v>
      </c>
      <c r="N3" s="1" t="s">
        <v>11</v>
      </c>
      <c r="O3" s="1" t="s">
        <v>12</v>
      </c>
      <c r="P3" s="1" t="s">
        <v>13</v>
      </c>
      <c r="Q3" s="1" t="s">
        <v>14</v>
      </c>
      <c r="R3" s="1" t="s">
        <v>15</v>
      </c>
      <c r="S3" s="1" t="s">
        <v>16</v>
      </c>
      <c r="T3" s="1" t="s">
        <v>17</v>
      </c>
      <c r="U3" s="1" t="s">
        <v>18</v>
      </c>
      <c r="V3" s="1" t="s">
        <v>19</v>
      </c>
      <c r="W3" s="1" t="s">
        <v>20</v>
      </c>
      <c r="X3" s="1" t="s">
        <v>21</v>
      </c>
      <c r="Y3" s="19" t="s">
        <v>22</v>
      </c>
      <c r="Z3" s="1" t="s">
        <v>23</v>
      </c>
      <c r="AA3" s="1" t="s">
        <v>193</v>
      </c>
      <c r="AC3" s="1" t="s">
        <v>110</v>
      </c>
      <c r="AD3" s="1" t="s">
        <v>111</v>
      </c>
      <c r="AE3" s="1" t="s">
        <v>112</v>
      </c>
      <c r="AF3" s="1" t="s">
        <v>113</v>
      </c>
      <c r="AG3" s="1" t="s">
        <v>114</v>
      </c>
      <c r="AH3" s="1" t="s">
        <v>115</v>
      </c>
      <c r="AI3" s="1" t="s">
        <v>116</v>
      </c>
      <c r="AJ3" s="1" t="s">
        <v>117</v>
      </c>
      <c r="AK3" s="1" t="s">
        <v>118</v>
      </c>
      <c r="AL3" s="1" t="s">
        <v>119</v>
      </c>
      <c r="AM3" s="1" t="s">
        <v>120</v>
      </c>
      <c r="AN3" s="1" t="s">
        <v>121</v>
      </c>
      <c r="AO3" s="1" t="s">
        <v>122</v>
      </c>
      <c r="AP3" s="1" t="s">
        <v>123</v>
      </c>
      <c r="AQ3" s="1" t="s">
        <v>124</v>
      </c>
      <c r="AR3" s="1" t="s">
        <v>125</v>
      </c>
      <c r="AS3" s="1" t="s">
        <v>126</v>
      </c>
      <c r="AT3" s="1" t="s">
        <v>127</v>
      </c>
      <c r="AU3" s="1" t="s">
        <v>128</v>
      </c>
      <c r="AV3" s="1" t="s">
        <v>129</v>
      </c>
      <c r="AW3" s="1" t="s">
        <v>130</v>
      </c>
      <c r="AX3" s="1" t="s">
        <v>131</v>
      </c>
      <c r="AY3" s="1" t="s">
        <v>132</v>
      </c>
      <c r="AZ3" s="1" t="s">
        <v>133</v>
      </c>
      <c r="BA3" s="1" t="s">
        <v>134</v>
      </c>
      <c r="BB3" s="1" t="s">
        <v>135</v>
      </c>
      <c r="BC3" s="1" t="s">
        <v>136</v>
      </c>
      <c r="BD3" s="1" t="s">
        <v>137</v>
      </c>
      <c r="BE3" s="1" t="s">
        <v>138</v>
      </c>
      <c r="BF3" s="1" t="s">
        <v>139</v>
      </c>
      <c r="BG3" s="1" t="s">
        <v>140</v>
      </c>
      <c r="BH3" s="1" t="s">
        <v>141</v>
      </c>
      <c r="BI3" s="1" t="s">
        <v>142</v>
      </c>
      <c r="BJ3" s="1" t="s">
        <v>143</v>
      </c>
      <c r="BK3" s="1" t="s">
        <v>144</v>
      </c>
      <c r="BL3" s="1" t="s">
        <v>145</v>
      </c>
      <c r="BM3" s="1" t="s">
        <v>146</v>
      </c>
      <c r="BN3" s="1" t="s">
        <v>147</v>
      </c>
      <c r="BO3" s="1" t="s">
        <v>148</v>
      </c>
      <c r="BP3" s="1" t="s">
        <v>149</v>
      </c>
      <c r="BQ3" s="1" t="s">
        <v>150</v>
      </c>
      <c r="BR3" s="1" t="s">
        <v>151</v>
      </c>
      <c r="BS3" s="1" t="s">
        <v>152</v>
      </c>
    </row>
    <row r="4" spans="1:96" x14ac:dyDescent="0.35">
      <c r="C4" s="1"/>
      <c r="D4" s="1"/>
      <c r="E4" s="1"/>
      <c r="F4" s="1"/>
      <c r="G4" s="1"/>
      <c r="H4" s="1"/>
      <c r="I4" s="1"/>
      <c r="J4" s="1"/>
      <c r="K4" s="1"/>
      <c r="L4" s="1"/>
      <c r="M4" s="1"/>
      <c r="N4" s="1"/>
      <c r="O4" s="1"/>
      <c r="P4" s="1"/>
      <c r="Q4" s="1"/>
      <c r="R4" s="1"/>
      <c r="S4" s="1"/>
      <c r="T4" s="1"/>
      <c r="U4" s="1"/>
      <c r="V4" s="1"/>
      <c r="W4" s="1"/>
      <c r="X4" s="1"/>
      <c r="Y4" s="19"/>
      <c r="Z4" s="1"/>
      <c r="AC4" s="1"/>
      <c r="AD4" s="1"/>
      <c r="AE4" s="1"/>
      <c r="AF4" s="1"/>
      <c r="AG4" s="1"/>
      <c r="AH4" s="1"/>
      <c r="AI4" s="1"/>
      <c r="AJ4" s="1"/>
      <c r="AK4" s="1"/>
      <c r="AL4" s="1"/>
      <c r="AM4" s="1"/>
      <c r="AN4" s="1"/>
      <c r="AO4" s="1"/>
      <c r="AP4" s="1"/>
      <c r="AQ4" s="1"/>
      <c r="AR4" s="1"/>
      <c r="AS4" s="1"/>
      <c r="AT4" s="1"/>
      <c r="AU4" s="1"/>
      <c r="AV4" s="1"/>
      <c r="AW4" s="1"/>
      <c r="AX4" s="1"/>
      <c r="AY4" s="1"/>
      <c r="AZ4" s="1"/>
      <c r="BA4" s="1"/>
      <c r="BB4" s="1"/>
      <c r="BC4" s="1"/>
      <c r="BS4" s="1"/>
    </row>
    <row r="5" spans="1:96" x14ac:dyDescent="0.35">
      <c r="C5" s="1"/>
      <c r="D5" s="1"/>
      <c r="E5" s="1"/>
      <c r="F5" s="1"/>
      <c r="G5" s="1"/>
      <c r="H5" s="1"/>
      <c r="I5" s="1"/>
      <c r="J5" s="1"/>
      <c r="K5" s="1"/>
      <c r="L5" s="1"/>
      <c r="M5" s="1"/>
      <c r="N5" s="1"/>
      <c r="O5" s="1"/>
      <c r="P5" s="1"/>
      <c r="Q5" s="1"/>
      <c r="R5" s="1"/>
      <c r="S5" s="1"/>
      <c r="T5" s="1"/>
      <c r="U5" s="1"/>
      <c r="V5" s="1"/>
      <c r="W5" s="1"/>
      <c r="X5" s="1"/>
      <c r="Y5" s="19"/>
      <c r="Z5" s="1"/>
      <c r="AC5" s="1"/>
      <c r="AD5" s="1"/>
      <c r="AE5" s="1"/>
      <c r="AF5" s="1"/>
      <c r="AG5" s="1"/>
      <c r="AH5" s="1"/>
      <c r="AI5" s="1"/>
      <c r="AJ5" s="1"/>
      <c r="AK5" s="1"/>
      <c r="AQ5" s="1"/>
      <c r="AR5" s="1"/>
      <c r="AS5" s="1"/>
      <c r="AT5" s="1"/>
      <c r="AU5" s="1"/>
      <c r="AV5" s="1"/>
      <c r="AW5" s="1"/>
      <c r="AX5" s="1"/>
      <c r="AY5" s="1"/>
      <c r="AZ5" s="1"/>
      <c r="BA5" s="1"/>
      <c r="BB5" s="1"/>
      <c r="BC5" s="1"/>
      <c r="BS5" s="1"/>
    </row>
    <row r="6" spans="1:96" x14ac:dyDescent="0.35">
      <c r="C6" s="1"/>
      <c r="D6" s="1"/>
      <c r="E6" s="1"/>
      <c r="F6" s="1"/>
      <c r="G6" s="1"/>
      <c r="H6" s="1"/>
      <c r="I6" s="1"/>
      <c r="J6" s="1"/>
      <c r="K6" s="1"/>
      <c r="L6" s="1"/>
      <c r="M6" s="1"/>
      <c r="N6" s="1"/>
      <c r="O6" s="1"/>
      <c r="P6" s="1"/>
      <c r="Q6" s="1"/>
      <c r="R6" s="1"/>
      <c r="S6" s="1"/>
      <c r="T6" s="1"/>
      <c r="U6" s="1"/>
      <c r="V6" s="1"/>
      <c r="W6" s="1"/>
      <c r="X6" s="1"/>
      <c r="Y6" s="19"/>
      <c r="Z6" s="1"/>
      <c r="AC6" s="1"/>
      <c r="AD6" s="1"/>
      <c r="AE6" s="1"/>
      <c r="AF6" s="1"/>
      <c r="AG6" s="1"/>
      <c r="AH6" s="1"/>
      <c r="AI6" s="1"/>
      <c r="AJ6" s="1"/>
      <c r="AK6" s="1"/>
      <c r="AL6" s="1"/>
      <c r="AM6" s="1"/>
      <c r="AN6" s="1"/>
      <c r="AO6" s="1"/>
      <c r="AP6" s="1"/>
      <c r="AQ6" s="1"/>
      <c r="AR6" s="1"/>
      <c r="AS6" s="1"/>
      <c r="AT6" s="1"/>
      <c r="AU6" s="1"/>
      <c r="AV6" s="1"/>
      <c r="AW6" s="1"/>
      <c r="AX6" s="1"/>
      <c r="AY6" s="1"/>
      <c r="AZ6" s="1"/>
      <c r="BA6" s="1"/>
      <c r="BB6" s="1"/>
      <c r="BC6" s="1"/>
      <c r="BS6" s="1"/>
      <c r="BX6" s="1"/>
      <c r="BY6" s="1"/>
      <c r="BZ6" s="1"/>
      <c r="CA6" s="1"/>
      <c r="CB6" s="1"/>
      <c r="CC6" s="1"/>
    </row>
    <row r="7" spans="1:96" ht="15" thickBot="1" x14ac:dyDescent="0.4">
      <c r="C7" s="1"/>
      <c r="D7" s="1"/>
      <c r="E7" s="1"/>
      <c r="F7" s="1"/>
      <c r="G7" s="1"/>
      <c r="H7" s="1"/>
      <c r="I7" s="1"/>
      <c r="J7" s="1"/>
      <c r="K7" s="1"/>
      <c r="L7" s="1"/>
      <c r="M7" s="1"/>
      <c r="N7" s="1"/>
      <c r="O7" s="1"/>
      <c r="P7" s="1"/>
      <c r="Q7" s="1"/>
      <c r="R7" s="1"/>
      <c r="S7" s="1"/>
      <c r="T7" s="1"/>
      <c r="U7" s="1"/>
      <c r="V7" s="1"/>
      <c r="W7" s="1"/>
      <c r="X7" s="1"/>
      <c r="Y7" s="19"/>
      <c r="Z7" s="1"/>
      <c r="AC7" s="1"/>
      <c r="AD7" s="1"/>
      <c r="AE7" s="1"/>
      <c r="AF7" s="1"/>
      <c r="AG7" s="1"/>
      <c r="AH7" s="1"/>
      <c r="AI7" s="1"/>
      <c r="AJ7" s="1"/>
      <c r="AK7" s="1"/>
      <c r="AL7" s="1"/>
      <c r="AM7" s="1"/>
      <c r="AN7" s="1"/>
      <c r="AO7" s="1"/>
      <c r="AP7" s="1"/>
      <c r="AQ7" s="1"/>
      <c r="AR7" s="1"/>
      <c r="AS7" s="1"/>
      <c r="AT7" s="1"/>
      <c r="AU7" s="1"/>
      <c r="AV7" s="1"/>
      <c r="AW7" s="1"/>
      <c r="AX7" s="1"/>
      <c r="AY7" s="1"/>
      <c r="AZ7" s="1"/>
      <c r="BA7" s="1"/>
      <c r="BB7" s="1"/>
      <c r="BC7" s="1"/>
      <c r="BS7" s="1"/>
      <c r="BX7" s="19"/>
      <c r="BY7" s="49" t="s">
        <v>188</v>
      </c>
      <c r="BZ7" s="49" t="s">
        <v>170</v>
      </c>
      <c r="CA7" s="49" t="s">
        <v>169</v>
      </c>
      <c r="CB7" s="49" t="s">
        <v>171</v>
      </c>
      <c r="CC7" s="50" t="s">
        <v>172</v>
      </c>
    </row>
    <row r="8" spans="1:96" ht="15" thickTop="1" x14ac:dyDescent="0.35">
      <c r="C8" s="1"/>
      <c r="D8" s="1"/>
      <c r="E8" s="1"/>
      <c r="F8" s="1"/>
      <c r="G8" s="1"/>
      <c r="H8" s="1"/>
      <c r="I8" s="1"/>
      <c r="J8" s="1"/>
      <c r="K8" s="1"/>
      <c r="L8" s="1"/>
      <c r="M8" s="1"/>
      <c r="N8" s="1"/>
      <c r="O8" s="1"/>
      <c r="P8" s="1"/>
      <c r="Q8" s="1"/>
      <c r="R8" s="1"/>
      <c r="S8" s="1"/>
      <c r="T8" s="1"/>
      <c r="U8" s="1"/>
      <c r="V8" s="1"/>
      <c r="W8" s="1"/>
      <c r="X8" s="1"/>
      <c r="Y8" s="19"/>
      <c r="Z8" s="1"/>
      <c r="AD8" s="1"/>
      <c r="AE8" s="1"/>
      <c r="AF8" s="1"/>
      <c r="AG8" s="1"/>
      <c r="AH8" s="1"/>
      <c r="AI8" s="7">
        <f>X20/X28</f>
        <v>0.69436892153282204</v>
      </c>
      <c r="AJ8" s="1"/>
      <c r="AK8" s="1"/>
      <c r="AL8" s="1"/>
      <c r="AM8" s="1"/>
      <c r="AN8" s="1"/>
      <c r="AO8" s="1"/>
      <c r="AP8" s="1"/>
      <c r="AQ8" s="1"/>
      <c r="AR8" s="1"/>
      <c r="AS8" s="1"/>
      <c r="AT8" s="1"/>
      <c r="AU8" s="1"/>
      <c r="AV8" s="1"/>
      <c r="AW8" s="1"/>
      <c r="AX8" s="1"/>
      <c r="AY8" s="1"/>
      <c r="AZ8" s="1"/>
      <c r="BA8" s="1"/>
      <c r="BB8" s="1"/>
      <c r="BC8" s="1"/>
      <c r="BS8" s="1"/>
      <c r="BX8" s="19"/>
      <c r="BY8" s="1"/>
      <c r="BZ8" s="47">
        <v>1</v>
      </c>
      <c r="CA8" s="47">
        <v>2</v>
      </c>
      <c r="CB8" s="47">
        <v>3</v>
      </c>
      <c r="CC8" s="51"/>
    </row>
    <row r="9" spans="1:96" x14ac:dyDescent="0.35">
      <c r="C9" s="1"/>
      <c r="D9" s="1"/>
      <c r="E9" s="1"/>
      <c r="F9" s="1"/>
      <c r="G9" s="1"/>
      <c r="H9" s="1"/>
      <c r="I9" s="1"/>
      <c r="J9" s="1"/>
      <c r="K9" s="1"/>
      <c r="L9" s="1"/>
      <c r="M9" s="1"/>
      <c r="N9" s="1"/>
      <c r="O9" s="1"/>
      <c r="P9" s="1"/>
      <c r="Q9" s="1"/>
      <c r="R9" s="1"/>
      <c r="S9" s="1"/>
      <c r="T9" s="1"/>
      <c r="U9" s="1"/>
      <c r="V9" s="1"/>
      <c r="W9" s="1"/>
      <c r="X9" s="1"/>
      <c r="Y9" s="19"/>
      <c r="Z9" s="1"/>
      <c r="AD9" s="1"/>
      <c r="AE9" s="1"/>
      <c r="AF9" s="1"/>
      <c r="AG9" s="1"/>
      <c r="AH9" s="1"/>
      <c r="AJ9" s="1"/>
      <c r="AK9" s="1"/>
      <c r="AL9" s="1"/>
      <c r="AM9" s="1"/>
      <c r="AN9" s="1"/>
      <c r="AO9" s="1"/>
      <c r="AP9" s="1"/>
      <c r="AQ9" s="1"/>
      <c r="AR9" s="1"/>
      <c r="AS9" s="1"/>
      <c r="AT9" s="1"/>
      <c r="AU9" s="1"/>
      <c r="AV9" s="1"/>
      <c r="AW9" s="1"/>
      <c r="AX9" s="1"/>
      <c r="AY9" s="1"/>
      <c r="AZ9" s="1"/>
      <c r="BA9" s="1"/>
      <c r="BB9" s="1"/>
      <c r="BC9" s="1"/>
      <c r="BS9" s="1"/>
      <c r="BX9" s="22"/>
      <c r="BY9" s="1" t="s">
        <v>189</v>
      </c>
      <c r="BZ9" s="48">
        <f>CA9+0.02</f>
        <v>6.5000000000000002E-2</v>
      </c>
      <c r="CA9" s="48">
        <v>4.4999999999999998E-2</v>
      </c>
      <c r="CB9" s="48">
        <f>CA9-0.03</f>
        <v>1.4999999999999999E-2</v>
      </c>
      <c r="CC9" s="51">
        <v>2</v>
      </c>
      <c r="CR9" s="1"/>
    </row>
    <row r="10" spans="1:96" x14ac:dyDescent="0.35">
      <c r="C10" s="1"/>
      <c r="D10" s="1"/>
      <c r="E10" s="1"/>
      <c r="F10" s="1"/>
      <c r="G10" s="1"/>
      <c r="H10" s="1"/>
      <c r="I10" s="1"/>
      <c r="J10" s="1"/>
      <c r="K10" s="1"/>
      <c r="L10" s="1"/>
      <c r="M10" s="1"/>
      <c r="N10" s="1"/>
      <c r="O10" s="1"/>
      <c r="P10" s="1"/>
      <c r="Q10" s="1"/>
      <c r="R10" s="1"/>
      <c r="S10" s="1"/>
      <c r="T10" s="1"/>
      <c r="U10" s="1"/>
      <c r="V10" s="1"/>
      <c r="W10" s="1"/>
      <c r="X10" s="1"/>
      <c r="Y10" s="19"/>
      <c r="Z10" s="1"/>
      <c r="AD10" s="1"/>
      <c r="AE10" s="1"/>
      <c r="AF10" s="1"/>
      <c r="AG10" s="1"/>
      <c r="AH10" s="1"/>
      <c r="AJ10" s="1"/>
      <c r="AK10" s="1"/>
      <c r="AL10" s="1"/>
      <c r="AM10" s="1"/>
      <c r="AN10" s="1"/>
      <c r="AO10" s="1"/>
      <c r="AP10" s="1"/>
      <c r="AQ10" s="1"/>
      <c r="AR10" s="1"/>
      <c r="AS10" s="1"/>
      <c r="AT10" s="1"/>
      <c r="AU10" s="1"/>
      <c r="AV10" s="1"/>
      <c r="AW10" s="1"/>
      <c r="AX10" s="1"/>
      <c r="AY10" s="1"/>
      <c r="AZ10" s="1"/>
      <c r="BA10" s="1"/>
      <c r="BB10" s="1"/>
      <c r="BC10" s="1"/>
      <c r="BS10" s="1"/>
      <c r="BX10" s="19"/>
      <c r="BY10" s="1" t="s">
        <v>168</v>
      </c>
      <c r="BZ10" s="48">
        <f>CA10+0.05</f>
        <v>0.09</v>
      </c>
      <c r="CA10" s="48">
        <v>0.04</v>
      </c>
      <c r="CB10" s="48">
        <f>CA10-0.02</f>
        <v>0.02</v>
      </c>
      <c r="CC10" s="51">
        <v>2</v>
      </c>
      <c r="CR10" s="1"/>
    </row>
    <row r="11" spans="1:96" x14ac:dyDescent="0.35">
      <c r="C11" s="1"/>
      <c r="D11" s="1"/>
      <c r="E11" s="1"/>
      <c r="F11" s="1"/>
      <c r="G11" s="1"/>
      <c r="H11" s="1"/>
      <c r="I11" s="1"/>
      <c r="J11" s="1"/>
      <c r="K11" s="1"/>
      <c r="L11" s="1"/>
      <c r="M11" s="1"/>
      <c r="N11" s="1"/>
      <c r="O11" s="1"/>
      <c r="P11" s="1"/>
      <c r="Q11" s="1"/>
      <c r="R11" s="1"/>
      <c r="S11" s="1"/>
      <c r="T11" s="1"/>
      <c r="U11" s="1"/>
      <c r="V11" s="1"/>
      <c r="W11" s="1"/>
      <c r="X11" s="12"/>
      <c r="Y11" s="19"/>
      <c r="Z11" s="1"/>
      <c r="AD11" s="1"/>
      <c r="AE11" s="1"/>
      <c r="AF11" s="1"/>
      <c r="AG11" s="1"/>
      <c r="AH11" s="1"/>
      <c r="AI11" t="s">
        <v>153</v>
      </c>
      <c r="AJ11" s="1"/>
      <c r="AK11" s="1"/>
      <c r="AL11" s="1"/>
      <c r="AM11" s="1"/>
      <c r="AN11" s="1"/>
      <c r="AO11" s="1"/>
      <c r="AP11" s="1"/>
      <c r="AQ11" s="1"/>
      <c r="AR11" s="1"/>
      <c r="AS11" s="1"/>
      <c r="AT11" s="1"/>
      <c r="AU11" s="1"/>
      <c r="AV11" s="1"/>
      <c r="AW11" s="1"/>
      <c r="AX11" s="1"/>
      <c r="AY11" s="1"/>
      <c r="AZ11" s="1"/>
      <c r="BA11" s="1"/>
      <c r="BB11" s="1"/>
      <c r="BC11" s="1"/>
      <c r="BS11" s="1"/>
      <c r="BX11" s="19"/>
      <c r="BY11" s="1" t="s">
        <v>190</v>
      </c>
      <c r="BZ11" s="48">
        <f>CA11+0.02</f>
        <v>0.06</v>
      </c>
      <c r="CA11" s="48">
        <v>0.04</v>
      </c>
      <c r="CB11" s="48">
        <f>CA11-0.02</f>
        <v>0.02</v>
      </c>
      <c r="CC11" s="51">
        <v>2</v>
      </c>
      <c r="CD11" s="1"/>
      <c r="CE11" s="1"/>
      <c r="CF11" s="1"/>
      <c r="CG11" s="1"/>
      <c r="CH11" s="1"/>
      <c r="CI11" s="1"/>
      <c r="CJ11" s="1"/>
      <c r="CK11" s="1"/>
      <c r="CR11" s="1"/>
    </row>
    <row r="12" spans="1:96" x14ac:dyDescent="0.35">
      <c r="C12" s="1"/>
      <c r="D12" s="1"/>
      <c r="E12" s="1"/>
      <c r="F12" s="1"/>
      <c r="G12" s="1"/>
      <c r="H12" s="1"/>
      <c r="I12" s="1"/>
      <c r="J12" s="1"/>
      <c r="K12" s="1"/>
      <c r="L12" s="1"/>
      <c r="M12" s="1"/>
      <c r="N12" s="1"/>
      <c r="O12" s="1"/>
      <c r="P12" s="1"/>
      <c r="Q12" s="1"/>
      <c r="R12" s="1"/>
      <c r="S12" s="1"/>
      <c r="T12" s="1"/>
      <c r="U12" s="1"/>
      <c r="V12" s="1"/>
      <c r="W12" s="1"/>
      <c r="X12" s="1"/>
      <c r="Y12" s="19"/>
      <c r="Z12" s="1"/>
      <c r="AD12" s="1"/>
      <c r="AE12" s="1"/>
      <c r="AF12" s="1"/>
      <c r="AG12" s="1"/>
      <c r="AH12" s="1"/>
      <c r="AI12" s="7">
        <f>X24/$X$28</f>
        <v>9.6957892031543785E-2</v>
      </c>
      <c r="AJ12" s="1"/>
      <c r="AK12" s="1"/>
      <c r="AL12" s="1"/>
      <c r="AM12" s="1"/>
      <c r="AN12" s="1"/>
      <c r="AO12" s="1"/>
      <c r="AP12" s="1"/>
      <c r="AQ12" s="1"/>
      <c r="AR12" s="1"/>
      <c r="AS12" s="1"/>
      <c r="AT12" s="1"/>
      <c r="AU12" s="1"/>
      <c r="AV12" s="1"/>
      <c r="AW12" s="1"/>
      <c r="AX12" s="1"/>
      <c r="AY12" s="1"/>
      <c r="AZ12" s="1"/>
      <c r="BA12" s="1"/>
      <c r="BB12" s="1"/>
      <c r="BC12" s="1"/>
      <c r="BS12" s="1"/>
      <c r="BX12" s="19"/>
      <c r="BY12" s="1" t="s">
        <v>167</v>
      </c>
      <c r="BZ12" s="48">
        <f>CA12+0.02</f>
        <v>0.11</v>
      </c>
      <c r="CA12" s="48">
        <v>0.09</v>
      </c>
      <c r="CB12" s="48">
        <f>CA12-0.02</f>
        <v>6.9999999999999993E-2</v>
      </c>
      <c r="CC12" s="51">
        <v>2</v>
      </c>
      <c r="CD12" s="1"/>
      <c r="CE12" s="1"/>
      <c r="CF12" s="1"/>
      <c r="CG12" s="1"/>
      <c r="CH12" s="1"/>
      <c r="CI12" s="1"/>
      <c r="CJ12" s="1"/>
      <c r="CK12" s="1"/>
      <c r="CR12" s="1"/>
    </row>
    <row r="13" spans="1:96" x14ac:dyDescent="0.35">
      <c r="C13" s="1"/>
      <c r="D13" s="1"/>
      <c r="E13" s="1"/>
      <c r="F13" s="1"/>
      <c r="G13" s="1"/>
      <c r="H13" s="1"/>
      <c r="I13" s="1"/>
      <c r="J13" s="1"/>
      <c r="K13" s="1"/>
      <c r="L13" s="1"/>
      <c r="M13" s="1"/>
      <c r="N13" s="1"/>
      <c r="O13" s="1"/>
      <c r="P13" s="1"/>
      <c r="Q13" s="1"/>
      <c r="R13" s="1"/>
      <c r="S13" s="1"/>
      <c r="T13" s="1"/>
      <c r="U13" s="1"/>
      <c r="V13" s="1"/>
      <c r="W13" s="1"/>
      <c r="X13" s="1"/>
      <c r="Y13" s="19"/>
      <c r="Z13" s="1"/>
      <c r="AD13" s="1"/>
      <c r="AE13" s="1"/>
      <c r="AF13" s="1"/>
      <c r="AG13" s="1"/>
      <c r="AH13" s="1"/>
      <c r="AI13" s="7">
        <f>X25/$X$28</f>
        <v>9.0221699197879049E-2</v>
      </c>
      <c r="AJ13" s="1"/>
      <c r="AK13" s="1"/>
      <c r="AL13" s="1"/>
      <c r="AM13" s="1"/>
      <c r="AN13" s="1"/>
      <c r="AO13" s="1"/>
      <c r="AP13" s="1"/>
      <c r="AQ13" s="1"/>
      <c r="AR13" s="1"/>
      <c r="AS13" s="1"/>
      <c r="AT13" s="1"/>
      <c r="AU13" s="1"/>
      <c r="AV13" s="1"/>
      <c r="AW13" s="1"/>
      <c r="AX13" s="1"/>
      <c r="AY13" s="1"/>
      <c r="AZ13" s="1"/>
      <c r="BA13" s="1"/>
      <c r="BB13" s="1"/>
      <c r="BC13" s="1"/>
      <c r="BS13" s="1"/>
      <c r="BX13" s="19"/>
      <c r="BY13" s="1" t="s">
        <v>173</v>
      </c>
      <c r="BZ13" s="48">
        <f>CA13+0.03</f>
        <v>0.14000000000000001</v>
      </c>
      <c r="CA13" s="48">
        <v>0.11</v>
      </c>
      <c r="CB13" s="48">
        <f>CA13-0.03</f>
        <v>0.08</v>
      </c>
      <c r="CC13" s="51">
        <v>2</v>
      </c>
      <c r="CD13" s="1"/>
      <c r="CE13" s="1"/>
      <c r="CF13" s="1"/>
      <c r="CR13" s="1"/>
    </row>
    <row r="14" spans="1:96" x14ac:dyDescent="0.35">
      <c r="A14" t="s">
        <v>25</v>
      </c>
      <c r="B14" s="8" t="s">
        <v>38</v>
      </c>
      <c r="C14" s="25">
        <v>35193</v>
      </c>
      <c r="D14" s="25">
        <v>24841</v>
      </c>
      <c r="E14" s="25">
        <v>24542</v>
      </c>
      <c r="F14" s="25">
        <f>112093-E14-D14-C14</f>
        <v>27517</v>
      </c>
      <c r="G14" s="25">
        <v>36940</v>
      </c>
      <c r="H14" s="25">
        <v>25596</v>
      </c>
      <c r="I14" s="25">
        <v>25056</v>
      </c>
      <c r="J14" s="25">
        <f>116914-I14-H14-G14</f>
        <v>29322</v>
      </c>
      <c r="K14" s="25">
        <v>41367</v>
      </c>
      <c r="L14" s="25">
        <v>25473</v>
      </c>
      <c r="M14" s="25">
        <v>27018</v>
      </c>
      <c r="N14" s="25">
        <f>124556-M14-L14-K14</f>
        <v>30698</v>
      </c>
      <c r="O14" s="25">
        <v>46310</v>
      </c>
      <c r="P14" s="25">
        <v>34306</v>
      </c>
      <c r="Q14" s="25">
        <v>35870</v>
      </c>
      <c r="R14" s="25">
        <f>169658-Q14-P14-O14</f>
        <v>53172</v>
      </c>
      <c r="S14" s="25">
        <v>51496</v>
      </c>
      <c r="T14" s="12">
        <v>40882</v>
      </c>
      <c r="U14" s="12">
        <v>37472</v>
      </c>
      <c r="V14" s="12">
        <f>169658-U14-T14-S14</f>
        <v>39808</v>
      </c>
      <c r="W14" s="12">
        <v>49278</v>
      </c>
      <c r="X14" s="12">
        <v>37784</v>
      </c>
      <c r="Y14" s="20">
        <v>35383</v>
      </c>
      <c r="AI14" s="7">
        <f>X26/$X$28</f>
        <v>0.11845148723775514</v>
      </c>
      <c r="BX14" s="19"/>
      <c r="BY14" s="1" t="s">
        <v>175</v>
      </c>
      <c r="BZ14" s="48">
        <f>CA14+0.02</f>
        <v>0.71</v>
      </c>
      <c r="CA14" s="48">
        <v>0.69</v>
      </c>
      <c r="CB14" s="48">
        <f>CA14-0.02</f>
        <v>0.66999999999999993</v>
      </c>
      <c r="CC14" s="51">
        <v>2</v>
      </c>
      <c r="CD14" s="1"/>
      <c r="CF14" s="1"/>
      <c r="CR14" s="1"/>
    </row>
    <row r="15" spans="1:96" x14ac:dyDescent="0.35">
      <c r="B15" s="8" t="s">
        <v>39</v>
      </c>
      <c r="C15" s="25">
        <v>21054</v>
      </c>
      <c r="D15" s="25">
        <v>13846</v>
      </c>
      <c r="E15" s="25">
        <v>12138</v>
      </c>
      <c r="F15" s="25">
        <f>62420-E15-D15-C15</f>
        <v>15382</v>
      </c>
      <c r="G15" s="25">
        <v>20363</v>
      </c>
      <c r="H15" s="25">
        <v>13054</v>
      </c>
      <c r="I15" s="25">
        <v>11925</v>
      </c>
      <c r="J15" s="25">
        <f>60288-I15-H15-G15</f>
        <v>14946</v>
      </c>
      <c r="K15" s="25">
        <v>23273</v>
      </c>
      <c r="L15" s="25">
        <v>14294</v>
      </c>
      <c r="M15" s="25">
        <v>14173</v>
      </c>
      <c r="N15" s="25">
        <f>68640-M15-L15-K15</f>
        <v>16900</v>
      </c>
      <c r="O15" s="25">
        <v>27306</v>
      </c>
      <c r="P15" s="25">
        <v>22264</v>
      </c>
      <c r="Q15" s="25">
        <v>18943</v>
      </c>
      <c r="R15" s="25">
        <f>95118-Q15-P15-O15</f>
        <v>26605</v>
      </c>
      <c r="S15" s="25">
        <v>29749</v>
      </c>
      <c r="T15" s="12">
        <v>23287</v>
      </c>
      <c r="U15" s="12">
        <v>19287</v>
      </c>
      <c r="V15" s="12">
        <f>95118-U15-T15-S15</f>
        <v>22795</v>
      </c>
      <c r="W15" s="12">
        <v>27681</v>
      </c>
      <c r="X15" s="12">
        <v>23945</v>
      </c>
      <c r="Y15" s="20">
        <v>20205</v>
      </c>
      <c r="Z15" s="26"/>
      <c r="AA15" s="26"/>
      <c r="BX15" s="19"/>
      <c r="BY15" s="1" t="s">
        <v>174</v>
      </c>
      <c r="BZ15" s="48">
        <v>0.37</v>
      </c>
      <c r="CA15" s="48">
        <v>0.34</v>
      </c>
      <c r="CB15" s="48">
        <v>0.32</v>
      </c>
      <c r="CC15" s="51">
        <v>2</v>
      </c>
      <c r="CD15" s="1"/>
      <c r="CF15" s="1"/>
      <c r="CR15" s="1"/>
    </row>
    <row r="16" spans="1:96" x14ac:dyDescent="0.35">
      <c r="B16" s="8" t="s">
        <v>40</v>
      </c>
      <c r="C16" s="25">
        <v>17956</v>
      </c>
      <c r="D16" s="25">
        <v>13024</v>
      </c>
      <c r="E16" s="25">
        <v>9551</v>
      </c>
      <c r="F16" s="25">
        <f>51942-E16-D16-C16</f>
        <v>11411</v>
      </c>
      <c r="G16" s="25">
        <v>13169</v>
      </c>
      <c r="H16" s="25">
        <v>10218</v>
      </c>
      <c r="I16" s="25">
        <v>9157</v>
      </c>
      <c r="J16" s="25">
        <f>43678-I16-H16-G16</f>
        <v>11134</v>
      </c>
      <c r="K16" s="25">
        <v>13578</v>
      </c>
      <c r="L16" s="25">
        <v>9455</v>
      </c>
      <c r="M16" s="25">
        <v>9329</v>
      </c>
      <c r="N16" s="25">
        <f>40308-M16-L16-K16</f>
        <v>7946</v>
      </c>
      <c r="O16" s="25">
        <v>21313</v>
      </c>
      <c r="P16" s="25">
        <v>17728</v>
      </c>
      <c r="Q16" s="25">
        <v>14604</v>
      </c>
      <c r="R16" s="25">
        <f>74200-Q16-P16-O16</f>
        <v>20555</v>
      </c>
      <c r="S16" s="25">
        <v>25783</v>
      </c>
      <c r="T16" s="12">
        <v>18343</v>
      </c>
      <c r="U16" s="12">
        <v>14604</v>
      </c>
      <c r="V16" s="12">
        <f>74200-U16-T16-S16</f>
        <v>15470</v>
      </c>
      <c r="W16" s="12">
        <v>23905</v>
      </c>
      <c r="X16" s="12">
        <v>17812</v>
      </c>
      <c r="Y16" s="20">
        <v>15758</v>
      </c>
      <c r="BX16" s="22"/>
      <c r="BY16" s="1" t="s">
        <v>184</v>
      </c>
      <c r="BZ16" s="48">
        <f>CA16-0.01</f>
        <v>6.0000000000000005E-2</v>
      </c>
      <c r="CA16" s="48">
        <v>7.0000000000000007E-2</v>
      </c>
      <c r="CB16" s="48">
        <f>CA16+0.01</f>
        <v>0.08</v>
      </c>
      <c r="CC16" s="51">
        <v>2</v>
      </c>
      <c r="CD16" s="1"/>
      <c r="CF16" s="1"/>
      <c r="CR16" s="1"/>
    </row>
    <row r="17" spans="1:96" x14ac:dyDescent="0.35">
      <c r="B17" s="8" t="s">
        <v>41</v>
      </c>
      <c r="C17" s="25">
        <v>7237</v>
      </c>
      <c r="D17" s="25">
        <v>5468</v>
      </c>
      <c r="E17" s="25">
        <v>3867</v>
      </c>
      <c r="F17" s="25">
        <f>21733-E17-D17-C17</f>
        <v>5161</v>
      </c>
      <c r="G17" s="25">
        <v>6910</v>
      </c>
      <c r="H17" s="25">
        <v>5532</v>
      </c>
      <c r="I17" s="25">
        <v>4082</v>
      </c>
      <c r="J17" s="25">
        <f>21506-I17-H17-G17</f>
        <v>4982</v>
      </c>
      <c r="K17" s="25">
        <v>6223</v>
      </c>
      <c r="L17" s="25">
        <v>5206</v>
      </c>
      <c r="M17" s="25">
        <v>4966</v>
      </c>
      <c r="N17" s="25">
        <f>21418-M17-L17-K17</f>
        <v>5023</v>
      </c>
      <c r="O17" s="25">
        <v>8285</v>
      </c>
      <c r="P17" s="25">
        <v>7742</v>
      </c>
      <c r="Q17" s="25">
        <v>5446</v>
      </c>
      <c r="R17" s="25">
        <f>25977-Q17-P17-O17</f>
        <v>4504</v>
      </c>
      <c r="S17" s="25">
        <v>7107</v>
      </c>
      <c r="T17" s="12">
        <v>7724</v>
      </c>
      <c r="U17" s="12">
        <v>5446</v>
      </c>
      <c r="V17" s="12">
        <f>25977-U17-T17-S17</f>
        <v>5700</v>
      </c>
      <c r="W17" s="12">
        <v>6755</v>
      </c>
      <c r="X17" s="12">
        <v>7176</v>
      </c>
      <c r="Y17" s="20">
        <v>4821</v>
      </c>
      <c r="AA17" s="26"/>
      <c r="BX17" s="22"/>
      <c r="BY17" s="1" t="s">
        <v>176</v>
      </c>
      <c r="BZ17" s="48">
        <v>0.04</v>
      </c>
      <c r="CA17" s="48">
        <v>7.0000000000000007E-2</v>
      </c>
      <c r="CB17" s="48">
        <v>0.09</v>
      </c>
      <c r="CC17" s="51">
        <v>2</v>
      </c>
      <c r="CD17" s="1"/>
      <c r="CF17" s="1"/>
      <c r="CR17" s="1"/>
    </row>
    <row r="18" spans="1:96" x14ac:dyDescent="0.35">
      <c r="A18" t="s">
        <v>25</v>
      </c>
      <c r="B18" s="8" t="s">
        <v>42</v>
      </c>
      <c r="C18" s="25">
        <v>6853</v>
      </c>
      <c r="D18" s="25">
        <v>3958</v>
      </c>
      <c r="E18" s="25">
        <v>3167</v>
      </c>
      <c r="F18" s="25">
        <f>17407-E18-D18-C18</f>
        <v>3429</v>
      </c>
      <c r="G18" s="25">
        <v>6928</v>
      </c>
      <c r="H18" s="25">
        <v>3615</v>
      </c>
      <c r="I18" s="25">
        <v>3589</v>
      </c>
      <c r="J18" s="25">
        <f>17788-I18-H18-G18</f>
        <v>3656</v>
      </c>
      <c r="K18" s="25">
        <v>7378</v>
      </c>
      <c r="L18" s="25">
        <v>3885</v>
      </c>
      <c r="M18" s="25">
        <v>4199</v>
      </c>
      <c r="N18" s="25">
        <f>19593-M18-L18-K18</f>
        <v>4131</v>
      </c>
      <c r="O18" s="25">
        <v>8225</v>
      </c>
      <c r="P18" s="25">
        <v>7544</v>
      </c>
      <c r="Q18" s="25">
        <v>6150</v>
      </c>
      <c r="R18" s="25">
        <f>29375-Q18-P18-O18</f>
        <v>7456</v>
      </c>
      <c r="S18" s="25">
        <v>3349</v>
      </c>
      <c r="T18" s="12">
        <v>7042</v>
      </c>
      <c r="U18" s="12">
        <v>6150</v>
      </c>
      <c r="V18" s="12">
        <f>26356-U18-T18-S18</f>
        <v>9815</v>
      </c>
      <c r="W18" s="12">
        <v>9535</v>
      </c>
      <c r="X18" s="12">
        <v>8119</v>
      </c>
      <c r="Y18" s="20">
        <v>5630</v>
      </c>
      <c r="BA18" s="22"/>
      <c r="BX18" s="22"/>
      <c r="BY18" s="1" t="s">
        <v>72</v>
      </c>
      <c r="BZ18" s="48">
        <v>0.14000000000000001</v>
      </c>
      <c r="CA18" s="48">
        <v>0.15</v>
      </c>
      <c r="CB18" s="48">
        <v>0.16</v>
      </c>
      <c r="CC18" s="51">
        <v>2</v>
      </c>
      <c r="CD18" s="1"/>
      <c r="CE18" s="1"/>
      <c r="CF18" s="1"/>
      <c r="CR18" s="1"/>
    </row>
    <row r="19" spans="1:96" x14ac:dyDescent="0.35">
      <c r="B19" s="1"/>
      <c r="C19" s="25"/>
      <c r="D19" s="1"/>
      <c r="E19" s="1"/>
      <c r="F19" s="1"/>
      <c r="G19" s="1"/>
      <c r="H19" s="1"/>
      <c r="I19" s="1"/>
      <c r="J19" s="1"/>
      <c r="K19" s="1"/>
      <c r="L19" s="1"/>
      <c r="M19" s="1"/>
      <c r="N19" s="1"/>
      <c r="O19" s="25"/>
      <c r="P19" s="1"/>
      <c r="Q19" s="1"/>
      <c r="R19" s="1"/>
      <c r="S19" s="1"/>
      <c r="T19" s="1"/>
      <c r="U19" s="1"/>
      <c r="V19" s="1"/>
      <c r="W19" s="1"/>
      <c r="X19" s="1"/>
      <c r="Y19" s="22"/>
      <c r="AC19" s="1"/>
      <c r="AD19" s="1"/>
      <c r="AE19" s="1"/>
      <c r="AF19" s="1"/>
      <c r="AG19" s="1"/>
      <c r="AH19" s="1"/>
      <c r="AI19" s="1"/>
      <c r="AJ19" s="1"/>
      <c r="AK19" s="1"/>
      <c r="AL19" s="1"/>
      <c r="AM19" s="1"/>
      <c r="AN19" s="1"/>
      <c r="AO19" s="1"/>
      <c r="AP19" s="1"/>
      <c r="AQ19" s="1"/>
      <c r="AR19" s="1"/>
      <c r="AS19" s="1"/>
      <c r="AT19" s="1"/>
      <c r="AU19" s="1"/>
      <c r="AV19" s="1"/>
      <c r="AW19" s="12"/>
      <c r="AX19" s="1"/>
      <c r="AY19" s="1"/>
      <c r="AZ19" s="1"/>
      <c r="BA19" s="19"/>
      <c r="BX19" s="22"/>
      <c r="CC19" s="22"/>
      <c r="CD19" s="1"/>
      <c r="CE19" s="1"/>
      <c r="CF19" s="1"/>
    </row>
    <row r="20" spans="1:96" x14ac:dyDescent="0.35">
      <c r="A20" t="s">
        <v>25</v>
      </c>
      <c r="B20" s="9" t="s">
        <v>43</v>
      </c>
      <c r="C20" s="12">
        <v>61104</v>
      </c>
      <c r="D20" s="12">
        <v>38032</v>
      </c>
      <c r="E20" s="12">
        <v>29906</v>
      </c>
      <c r="F20" s="12">
        <f>166699-E20-D20-C20</f>
        <v>37657</v>
      </c>
      <c r="G20" s="12">
        <v>51982</v>
      </c>
      <c r="H20" s="12">
        <v>31051</v>
      </c>
      <c r="I20" s="12">
        <v>25986</v>
      </c>
      <c r="J20" s="12">
        <f>142381-I20-H20-G20</f>
        <v>33362</v>
      </c>
      <c r="K20" s="12">
        <v>55957</v>
      </c>
      <c r="L20" s="12">
        <v>28962</v>
      </c>
      <c r="M20" s="12">
        <v>26418</v>
      </c>
      <c r="N20" s="12">
        <v>26444</v>
      </c>
      <c r="O20" s="12">
        <v>65597</v>
      </c>
      <c r="P20" s="12">
        <v>47938</v>
      </c>
      <c r="Q20" s="12">
        <v>39570</v>
      </c>
      <c r="R20" s="12">
        <v>38868</v>
      </c>
      <c r="S20" s="12">
        <v>71628</v>
      </c>
      <c r="T20" s="12">
        <v>50570</v>
      </c>
      <c r="U20" s="12">
        <v>40665</v>
      </c>
      <c r="V20" s="12">
        <v>42626</v>
      </c>
      <c r="W20" s="12">
        <v>65775</v>
      </c>
      <c r="X20" s="12">
        <v>51334</v>
      </c>
      <c r="Y20" s="20">
        <v>39669</v>
      </c>
      <c r="Z20" s="53">
        <f>Z28*$AI$8</f>
        <v>50417.361825282162</v>
      </c>
      <c r="AA20" s="53">
        <f>AA28*$AI$8</f>
        <v>65130.659905079599</v>
      </c>
      <c r="AC20" s="12"/>
      <c r="AD20" s="12"/>
      <c r="AE20" s="12"/>
      <c r="AF20" s="25">
        <v>0</v>
      </c>
      <c r="AG20" s="25">
        <v>0</v>
      </c>
      <c r="AH20" s="25">
        <v>0</v>
      </c>
      <c r="AI20" s="25">
        <v>0</v>
      </c>
      <c r="AJ20" s="25">
        <v>0</v>
      </c>
      <c r="AK20" s="25">
        <v>0</v>
      </c>
      <c r="AL20" s="25">
        <v>123</v>
      </c>
      <c r="AM20" s="25">
        <v>6742</v>
      </c>
      <c r="AN20" s="25">
        <v>13033</v>
      </c>
      <c r="AO20" s="25">
        <v>25179</v>
      </c>
      <c r="AP20" s="25">
        <v>45998</v>
      </c>
      <c r="AQ20" s="25">
        <v>78692</v>
      </c>
      <c r="AR20" s="25">
        <v>91279</v>
      </c>
      <c r="AS20" s="25">
        <v>101991</v>
      </c>
      <c r="AT20" s="25">
        <v>155041</v>
      </c>
      <c r="AU20" s="25">
        <v>136700</v>
      </c>
      <c r="AV20" s="25">
        <v>141319</v>
      </c>
      <c r="AW20" s="25">
        <f>SUM(C20:F20)</f>
        <v>166699</v>
      </c>
      <c r="AX20" s="25">
        <v>142381</v>
      </c>
      <c r="AY20" s="25">
        <f>SUM(K20:N20)</f>
        <v>137781</v>
      </c>
      <c r="AZ20" s="25">
        <f>SUM(O20:R20)</f>
        <v>191973</v>
      </c>
      <c r="BA20" s="34">
        <f>SUM(S20:V20)</f>
        <v>205489</v>
      </c>
      <c r="BB20" s="43">
        <f>SUM(W20:Z20)</f>
        <v>207195.36182528216</v>
      </c>
      <c r="BC20" s="26">
        <f>BB20*IF($CC$9=1,1+$BZ$9,IF($CC$9=2,(1+$CA$9),IF($CC$9=3,(1+$CB$9))))</f>
        <v>216519.15310741984</v>
      </c>
      <c r="BD20" s="26">
        <f>BC20*IF($CC$9=1,1+$BZ$9,IF($CC$9=2,(1+$CA$9),IF($CC$9=3,(1+$CB$9))))</f>
        <v>226262.51499725372</v>
      </c>
      <c r="BE20" s="26">
        <f>BD20*IF($CC$9=1,1+$BZ$9,IF($CC$9=2,(1+$CA$9),IF($CC$9=3,(1+$CB$9))))</f>
        <v>236444.32817213013</v>
      </c>
      <c r="BF20" s="26">
        <f t="shared" ref="BF20:BS20" si="0">BE20*IF($CC$9=1,1+$BZ$9,IF($CC$9=2,(1+$CA$9),IF($CC$9=3,(1+$CB$9))))</f>
        <v>247084.32293987597</v>
      </c>
      <c r="BG20" s="26">
        <f t="shared" si="0"/>
        <v>258203.11747217039</v>
      </c>
      <c r="BH20" s="26">
        <f t="shared" si="0"/>
        <v>269822.25775841804</v>
      </c>
      <c r="BI20" s="26">
        <f t="shared" si="0"/>
        <v>281964.25935754681</v>
      </c>
      <c r="BJ20" s="26">
        <f t="shared" si="0"/>
        <v>294652.65102863638</v>
      </c>
      <c r="BK20" s="26">
        <f t="shared" si="0"/>
        <v>307912.02032492502</v>
      </c>
      <c r="BL20" s="26">
        <f t="shared" si="0"/>
        <v>321768.06123954663</v>
      </c>
      <c r="BM20" s="26">
        <f t="shared" si="0"/>
        <v>336247.62399532623</v>
      </c>
      <c r="BN20" s="26">
        <f t="shared" si="0"/>
        <v>351378.76707511587</v>
      </c>
      <c r="BO20" s="26">
        <f t="shared" si="0"/>
        <v>367190.81159349607</v>
      </c>
      <c r="BP20" s="26">
        <f>BO20*IF($CC$9=1,1+$BZ$9,IF($CC$9=2,(1+$CA$9),IF($CC$9=3,(1+$CB$9))))</f>
        <v>383714.39811520337</v>
      </c>
      <c r="BQ20" s="26">
        <f t="shared" si="0"/>
        <v>400981.54603038752</v>
      </c>
      <c r="BR20" s="26">
        <f t="shared" si="0"/>
        <v>419025.7156017549</v>
      </c>
      <c r="BS20" s="26">
        <f t="shared" si="0"/>
        <v>437881.87280383386</v>
      </c>
      <c r="BX20" s="22"/>
      <c r="CC20" s="22"/>
      <c r="CD20" s="1"/>
      <c r="CE20" s="1"/>
      <c r="CF20" s="1"/>
    </row>
    <row r="21" spans="1:96" x14ac:dyDescent="0.35">
      <c r="B21" s="9" t="s">
        <v>44</v>
      </c>
      <c r="C21" s="12">
        <v>52217</v>
      </c>
      <c r="D21" s="12">
        <v>41300</v>
      </c>
      <c r="E21" s="12">
        <v>46900</v>
      </c>
      <c r="F21" s="12">
        <v>68400</v>
      </c>
      <c r="G21" s="12">
        <v>36400</v>
      </c>
      <c r="H21" s="12">
        <v>33800</v>
      </c>
      <c r="I21" s="12">
        <v>46600</v>
      </c>
      <c r="J21" s="12">
        <v>73800</v>
      </c>
      <c r="K21" s="12">
        <v>36700</v>
      </c>
      <c r="L21" s="12">
        <v>37600</v>
      </c>
      <c r="M21" s="12">
        <v>41700</v>
      </c>
      <c r="N21" s="12">
        <v>90100</v>
      </c>
      <c r="O21" s="12">
        <v>55200</v>
      </c>
      <c r="P21" s="12">
        <v>44200</v>
      </c>
      <c r="Q21" s="12">
        <v>50400</v>
      </c>
      <c r="R21" s="12">
        <v>84100</v>
      </c>
      <c r="S21" s="12">
        <v>56500</v>
      </c>
      <c r="T21" s="12">
        <v>49328</v>
      </c>
      <c r="U21" s="12">
        <v>51900</v>
      </c>
      <c r="V21" s="12">
        <v>72300</v>
      </c>
      <c r="W21" s="42"/>
      <c r="X21" s="42"/>
      <c r="Y21" s="56"/>
      <c r="AC21" s="12"/>
      <c r="AD21" s="12"/>
      <c r="AE21" s="12"/>
      <c r="AF21" s="25"/>
      <c r="AG21" s="25"/>
      <c r="AH21" s="25"/>
      <c r="AI21" s="25"/>
      <c r="AJ21" s="25"/>
      <c r="AK21" s="25"/>
      <c r="AL21" s="25"/>
      <c r="AM21" s="25"/>
      <c r="AN21" s="25">
        <v>20731</v>
      </c>
      <c r="AO21" s="25">
        <v>39989</v>
      </c>
      <c r="AP21" s="25">
        <v>72293</v>
      </c>
      <c r="AQ21" s="25">
        <v>125046</v>
      </c>
      <c r="AR21" s="25">
        <v>150257</v>
      </c>
      <c r="AS21" s="25">
        <v>169219</v>
      </c>
      <c r="AT21" s="25">
        <v>231218</v>
      </c>
      <c r="AU21" s="25">
        <v>211884</v>
      </c>
      <c r="AV21" s="25">
        <f>SUM(C21:F21)</f>
        <v>208817</v>
      </c>
      <c r="AW21" s="25">
        <f>SUM(D21:G21)</f>
        <v>193000</v>
      </c>
      <c r="AX21" s="25">
        <f>SUM(H21:K21)</f>
        <v>190900</v>
      </c>
      <c r="AY21" s="25">
        <f>SUM(K21:N21)</f>
        <v>206100</v>
      </c>
      <c r="AZ21" s="25">
        <f>SUM(P21:S21)</f>
        <v>235200</v>
      </c>
      <c r="BA21" s="34">
        <f>SUM(S21:V21)</f>
        <v>230028</v>
      </c>
      <c r="BB21" s="43">
        <f t="shared" ref="BB21:BB42" si="1">SUM(W21:Z21)</f>
        <v>0</v>
      </c>
      <c r="BX21" s="22"/>
      <c r="BY21" s="1"/>
      <c r="BZ21" s="1"/>
      <c r="CA21" s="1"/>
      <c r="CB21" s="1"/>
      <c r="CC21" s="19"/>
    </row>
    <row r="22" spans="1:96" x14ac:dyDescent="0.35">
      <c r="A22" t="s">
        <v>25</v>
      </c>
      <c r="B22" s="9" t="s">
        <v>45</v>
      </c>
      <c r="C22" s="12">
        <f>+C20*1000/C21</f>
        <v>1170.1936151061914</v>
      </c>
      <c r="D22" s="12">
        <f>+D20*1000/D21</f>
        <v>920.87167070217913</v>
      </c>
      <c r="E22" s="12">
        <f>+E20*1000/E21</f>
        <v>637.65458422174845</v>
      </c>
      <c r="F22" s="12">
        <f>+F20*1000/F21</f>
        <v>550.54093567251459</v>
      </c>
      <c r="G22" s="12">
        <f t="shared" ref="G22:J22" si="2">+G20*1000/G21</f>
        <v>1428.0769230769231</v>
      </c>
      <c r="H22" s="12">
        <f t="shared" si="2"/>
        <v>918.66863905325442</v>
      </c>
      <c r="I22" s="12">
        <f t="shared" si="2"/>
        <v>557.63948497854074</v>
      </c>
      <c r="J22" s="12">
        <f t="shared" si="2"/>
        <v>452.05962059620595</v>
      </c>
      <c r="K22" s="12">
        <f t="shared" ref="K22:T22" si="3">+K20*1000/K21</f>
        <v>1524.7138964577657</v>
      </c>
      <c r="L22" s="12">
        <f t="shared" si="3"/>
        <v>770.26595744680856</v>
      </c>
      <c r="M22" s="12">
        <f t="shared" si="3"/>
        <v>633.52517985611507</v>
      </c>
      <c r="N22" s="12">
        <f t="shared" si="3"/>
        <v>293.49611542730298</v>
      </c>
      <c r="O22" s="12">
        <f t="shared" si="3"/>
        <v>1188.3514492753623</v>
      </c>
      <c r="P22" s="12">
        <f t="shared" si="3"/>
        <v>1084.5701357466064</v>
      </c>
      <c r="Q22" s="12">
        <f t="shared" si="3"/>
        <v>785.11904761904759</v>
      </c>
      <c r="R22" s="12">
        <f t="shared" si="3"/>
        <v>462.16409036860881</v>
      </c>
      <c r="S22" s="12">
        <f t="shared" si="3"/>
        <v>1267.7522123893805</v>
      </c>
      <c r="T22" s="12">
        <f t="shared" si="3"/>
        <v>1025.1783976646125</v>
      </c>
      <c r="U22" s="13">
        <f>+Q22*1.05</f>
        <v>824.375</v>
      </c>
      <c r="V22" s="13">
        <f>+R22*1.05</f>
        <v>485.27229488703927</v>
      </c>
      <c r="W22" s="12"/>
      <c r="X22" s="12"/>
      <c r="Y22" s="22"/>
      <c r="AC22" s="12"/>
      <c r="AD22" s="12"/>
      <c r="AE22" s="12"/>
      <c r="AF22" s="25"/>
      <c r="AG22" s="25"/>
      <c r="AH22" s="25"/>
      <c r="AI22" s="25"/>
      <c r="AJ22" s="25"/>
      <c r="AK22" s="25"/>
      <c r="AL22" s="25"/>
      <c r="AM22" s="25"/>
      <c r="AN22" s="25">
        <f>+AN20*1000/AN21</f>
        <v>628.67203704596977</v>
      </c>
      <c r="AO22" s="25">
        <f>+AO20*1000/AO21</f>
        <v>629.64815324214157</v>
      </c>
      <c r="AP22" s="25">
        <f>+AP20*1000/AP21</f>
        <v>636.27183821393498</v>
      </c>
      <c r="AQ22" s="25">
        <f>+AQ20*1000/AQ21</f>
        <v>629.3044159749212</v>
      </c>
      <c r="AR22" s="25">
        <f t="shared" ref="AR22:AU22" si="4">+AR20*1000/AR21</f>
        <v>607.48584092588032</v>
      </c>
      <c r="AS22" s="25">
        <f t="shared" si="4"/>
        <v>602.71600706776428</v>
      </c>
      <c r="AT22" s="25">
        <f t="shared" si="4"/>
        <v>670.54035585464794</v>
      </c>
      <c r="AU22" s="25">
        <f t="shared" si="4"/>
        <v>645.16433520228054</v>
      </c>
      <c r="AV22" s="25">
        <f t="shared" ref="AV22:BA22" si="5">+AV20*1000/AV21</f>
        <v>676.76003390528547</v>
      </c>
      <c r="AW22" s="25">
        <f t="shared" si="5"/>
        <v>863.72538860103623</v>
      </c>
      <c r="AX22" s="25">
        <f t="shared" si="5"/>
        <v>745.84075432163434</v>
      </c>
      <c r="AY22" s="25">
        <f t="shared" si="5"/>
        <v>668.51528384279482</v>
      </c>
      <c r="AZ22" s="25">
        <f t="shared" si="5"/>
        <v>816.21173469387759</v>
      </c>
      <c r="BA22" s="34">
        <f t="shared" si="5"/>
        <v>893.32168257777312</v>
      </c>
      <c r="BB22" s="43">
        <f t="shared" si="1"/>
        <v>0</v>
      </c>
      <c r="BX22" s="22"/>
      <c r="BY22" s="1" t="s">
        <v>179</v>
      </c>
      <c r="BZ22" s="42">
        <v>7.4999999999999997E-2</v>
      </c>
      <c r="CA22" s="1"/>
      <c r="CB22" s="1" t="s">
        <v>187</v>
      </c>
      <c r="CC22" s="19">
        <v>178.61</v>
      </c>
    </row>
    <row r="23" spans="1:96" x14ac:dyDescent="0.35">
      <c r="B23" s="9"/>
      <c r="C23" s="12"/>
      <c r="D23" s="12"/>
      <c r="E23" s="12"/>
      <c r="F23" s="12"/>
      <c r="G23" s="12"/>
      <c r="H23" s="12"/>
      <c r="I23" s="12"/>
      <c r="J23" s="12"/>
      <c r="K23" s="12"/>
      <c r="L23" s="12"/>
      <c r="M23" s="12"/>
      <c r="N23" s="12"/>
      <c r="O23" s="12"/>
      <c r="P23" s="12"/>
      <c r="Q23" s="12"/>
      <c r="R23" s="12"/>
      <c r="S23" s="12"/>
      <c r="T23" s="12"/>
      <c r="U23" s="12"/>
      <c r="V23" s="12"/>
      <c r="W23" s="12"/>
      <c r="X23" s="12"/>
      <c r="Y23" s="22"/>
      <c r="AC23" s="12"/>
      <c r="AD23" s="12"/>
      <c r="AE23" s="12"/>
      <c r="AF23" s="25"/>
      <c r="AG23" s="25"/>
      <c r="AH23" s="25"/>
      <c r="AI23" s="25"/>
      <c r="AJ23" s="25"/>
      <c r="AK23" s="25"/>
      <c r="AL23" s="25"/>
      <c r="AM23" s="25"/>
      <c r="AN23" s="25"/>
      <c r="AO23" s="25"/>
      <c r="AP23" s="25"/>
      <c r="AQ23" s="25"/>
      <c r="AR23" s="25"/>
      <c r="AS23" s="25"/>
      <c r="AT23" s="25"/>
      <c r="AU23" s="25"/>
      <c r="AV23" s="25"/>
      <c r="AW23" s="25"/>
      <c r="AX23" s="25"/>
      <c r="AY23" s="25"/>
      <c r="AZ23" s="25"/>
      <c r="BA23" s="34"/>
      <c r="BB23" s="43">
        <f t="shared" si="1"/>
        <v>0</v>
      </c>
      <c r="BX23" s="22"/>
      <c r="BY23" s="1" t="s">
        <v>180</v>
      </c>
      <c r="BZ23" s="17">
        <v>-0.01</v>
      </c>
      <c r="CA23" s="1"/>
      <c r="CB23" s="1" t="s">
        <v>64</v>
      </c>
      <c r="CC23" s="34">
        <f>BB44</f>
        <v>15811.0355</v>
      </c>
    </row>
    <row r="24" spans="1:96" x14ac:dyDescent="0.35">
      <c r="A24" t="s">
        <v>25</v>
      </c>
      <c r="B24" s="9" t="s">
        <v>46</v>
      </c>
      <c r="C24" s="12">
        <v>6824</v>
      </c>
      <c r="D24" s="12">
        <v>5848</v>
      </c>
      <c r="E24" s="12">
        <v>5330</v>
      </c>
      <c r="F24" s="12">
        <f>25484-E24-D24-C24</f>
        <v>7482</v>
      </c>
      <c r="G24" s="12">
        <v>7416</v>
      </c>
      <c r="H24" s="12">
        <v>5513</v>
      </c>
      <c r="I24" s="12">
        <v>5820</v>
      </c>
      <c r="J24" s="12">
        <f>25740-I24-H24-G24</f>
        <v>6991</v>
      </c>
      <c r="K24" s="12">
        <v>7160</v>
      </c>
      <c r="L24" s="12">
        <v>5351</v>
      </c>
      <c r="M24" s="12">
        <v>7079</v>
      </c>
      <c r="N24" s="12">
        <v>9032</v>
      </c>
      <c r="O24" s="12">
        <v>8675</v>
      </c>
      <c r="P24" s="12">
        <v>9102</v>
      </c>
      <c r="Q24" s="12">
        <v>8235</v>
      </c>
      <c r="R24" s="12">
        <v>9178</v>
      </c>
      <c r="S24" s="12">
        <v>10852</v>
      </c>
      <c r="T24" s="12">
        <v>10435</v>
      </c>
      <c r="U24" s="12">
        <v>7382</v>
      </c>
      <c r="V24" s="12">
        <v>11508</v>
      </c>
      <c r="W24" s="12">
        <v>7735</v>
      </c>
      <c r="X24" s="12">
        <v>7168</v>
      </c>
      <c r="Y24" s="20">
        <v>6840</v>
      </c>
      <c r="Z24" s="53">
        <f>Z28*$AI$12</f>
        <v>7040.0056407765342</v>
      </c>
      <c r="AA24" s="53">
        <f>AA28*$AI$12</f>
        <v>9094.4904001170871</v>
      </c>
      <c r="AC24" s="12"/>
      <c r="AD24" s="12"/>
      <c r="AE24" s="12">
        <f>2747+948+2381</f>
        <v>6076</v>
      </c>
      <c r="AF24" s="25">
        <v>4403</v>
      </c>
      <c r="AG24" s="25">
        <v>4534</v>
      </c>
      <c r="AH24" s="25">
        <v>4491</v>
      </c>
      <c r="AI24" s="25">
        <v>4923</v>
      </c>
      <c r="AJ24" s="25">
        <v>6275</v>
      </c>
      <c r="AK24" s="25">
        <v>7375</v>
      </c>
      <c r="AL24" s="25">
        <v>10314</v>
      </c>
      <c r="AM24" s="25">
        <v>14354</v>
      </c>
      <c r="AN24" s="25">
        <v>13859</v>
      </c>
      <c r="AO24" s="25">
        <v>17479</v>
      </c>
      <c r="AP24" s="25">
        <v>21783</v>
      </c>
      <c r="AQ24" s="25">
        <v>23221</v>
      </c>
      <c r="AR24" s="25">
        <v>21483</v>
      </c>
      <c r="AS24" s="25">
        <v>24079</v>
      </c>
      <c r="AT24" s="25">
        <v>25471</v>
      </c>
      <c r="AU24" s="25">
        <v>22831</v>
      </c>
      <c r="AV24" s="25">
        <v>25850</v>
      </c>
      <c r="AW24" s="25">
        <f>SUM(C24:F24)</f>
        <v>25484</v>
      </c>
      <c r="AX24" s="25">
        <v>25740</v>
      </c>
      <c r="AY24" s="25">
        <f>SUM(K24:N24)</f>
        <v>28622</v>
      </c>
      <c r="AZ24" s="25">
        <f>SUM(O24:R24)</f>
        <v>35190</v>
      </c>
      <c r="BA24" s="34">
        <f>SUM(S24:V24)</f>
        <v>40177</v>
      </c>
      <c r="BB24" s="43">
        <f>SUM(W24:Z24)</f>
        <v>28783.005640776533</v>
      </c>
      <c r="BC24" s="26">
        <f>BB24*IF($CC$10=1,1+$BZ$10,IF($CC$10=2,1+$CA$10,IF($CC$10=3,1+$CB$10,0)))</f>
        <v>29934.325866407595</v>
      </c>
      <c r="BD24" s="26">
        <f t="shared" ref="BD24:BS24" si="6">BC24*IF($CC$10=1,1+$BZ$10,IF($CC$10=2,1+$CA$10,IF($CC$10=3,1+$CB$10,0)))</f>
        <v>31131.698901063901</v>
      </c>
      <c r="BE24" s="26">
        <f t="shared" si="6"/>
        <v>32376.966857106458</v>
      </c>
      <c r="BF24" s="26">
        <f t="shared" si="6"/>
        <v>33672.045531390715</v>
      </c>
      <c r="BG24" s="26">
        <f t="shared" si="6"/>
        <v>35018.927352646344</v>
      </c>
      <c r="BH24" s="26">
        <f t="shared" si="6"/>
        <v>36419.684446752202</v>
      </c>
      <c r="BI24" s="26">
        <f t="shared" si="6"/>
        <v>37876.471824622291</v>
      </c>
      <c r="BJ24" s="26">
        <f t="shared" si="6"/>
        <v>39391.530697607181</v>
      </c>
      <c r="BK24" s="26">
        <f t="shared" si="6"/>
        <v>40967.19192551147</v>
      </c>
      <c r="BL24" s="26">
        <f t="shared" si="6"/>
        <v>42605.879602531932</v>
      </c>
      <c r="BM24" s="26">
        <f t="shared" si="6"/>
        <v>44310.11478663321</v>
      </c>
      <c r="BN24" s="26">
        <f t="shared" si="6"/>
        <v>46082.519378098543</v>
      </c>
      <c r="BO24" s="26">
        <f t="shared" si="6"/>
        <v>47925.820153222485</v>
      </c>
      <c r="BP24" s="26">
        <f>BO24*IF($CC$10=1,1+$BZ$10,IF($CC$10=2,1+$CA$10,IF($CC$10=3,1+$CB$10,0)))</f>
        <v>49842.852959351389</v>
      </c>
      <c r="BQ24" s="26">
        <f t="shared" si="6"/>
        <v>51836.567077725449</v>
      </c>
      <c r="BR24" s="26">
        <f t="shared" si="6"/>
        <v>53910.02976083447</v>
      </c>
      <c r="BS24" s="26">
        <f t="shared" si="6"/>
        <v>56066.430951267852</v>
      </c>
      <c r="BX24" s="22"/>
      <c r="BY24" s="1" t="s">
        <v>181</v>
      </c>
      <c r="BZ24" s="46">
        <f>NPV($BZ$22,$BB$42:$FF$42)+$CC$25-$CC$26</f>
        <v>2755607.4615399777</v>
      </c>
      <c r="CA24" s="1"/>
      <c r="CB24" s="1" t="s">
        <v>185</v>
      </c>
      <c r="CC24" s="34">
        <f>$CC$23*$CC$22</f>
        <v>2824009.0506550004</v>
      </c>
    </row>
    <row r="25" spans="1:96" x14ac:dyDescent="0.35">
      <c r="B25" s="9" t="s">
        <v>47</v>
      </c>
      <c r="C25" s="12">
        <v>5755</v>
      </c>
      <c r="D25" s="12">
        <v>4113</v>
      </c>
      <c r="E25" s="12">
        <v>4741</v>
      </c>
      <c r="F25" s="12">
        <f>18805-E25-D25-C25</f>
        <v>4196</v>
      </c>
      <c r="G25" s="12">
        <v>6729</v>
      </c>
      <c r="H25" s="12">
        <v>4872</v>
      </c>
      <c r="I25" s="12">
        <v>5023</v>
      </c>
      <c r="J25" s="12">
        <f>21280-I25-H25-G25</f>
        <v>4656</v>
      </c>
      <c r="K25" s="12">
        <v>5977</v>
      </c>
      <c r="L25" s="12">
        <v>4368</v>
      </c>
      <c r="M25" s="12">
        <v>6582</v>
      </c>
      <c r="N25" s="12">
        <v>6797</v>
      </c>
      <c r="O25" s="12">
        <v>8435</v>
      </c>
      <c r="P25" s="12">
        <v>7807</v>
      </c>
      <c r="Q25" s="12">
        <v>7368</v>
      </c>
      <c r="R25" s="12">
        <v>8252</v>
      </c>
      <c r="S25" s="12">
        <v>7248</v>
      </c>
      <c r="T25" s="12">
        <v>7646</v>
      </c>
      <c r="U25" s="12">
        <v>7224</v>
      </c>
      <c r="V25" s="12">
        <v>7174</v>
      </c>
      <c r="W25" s="12">
        <v>9396</v>
      </c>
      <c r="X25" s="12">
        <v>6670</v>
      </c>
      <c r="Y25" s="20">
        <v>5791</v>
      </c>
      <c r="Z25" s="53">
        <f>Z28*$AI$13</f>
        <v>6550.898106023923</v>
      </c>
      <c r="AA25" s="53">
        <f>AA28*$AI$13</f>
        <v>8462.6466195285957</v>
      </c>
      <c r="AC25" s="12"/>
      <c r="AD25" s="12"/>
      <c r="AE25" s="12">
        <v>0</v>
      </c>
      <c r="AF25" s="25">
        <v>0</v>
      </c>
      <c r="AG25" s="25">
        <v>0</v>
      </c>
      <c r="AH25" s="25">
        <v>0</v>
      </c>
      <c r="AI25" s="25">
        <v>0</v>
      </c>
      <c r="AJ25" s="25">
        <v>0</v>
      </c>
      <c r="AK25" s="25">
        <v>0</v>
      </c>
      <c r="AL25" s="25">
        <v>0</v>
      </c>
      <c r="AM25" s="25">
        <v>0</v>
      </c>
      <c r="AN25" s="25">
        <v>0</v>
      </c>
      <c r="AO25" s="25">
        <v>4958</v>
      </c>
      <c r="AP25" s="25">
        <v>19168</v>
      </c>
      <c r="AQ25" s="25">
        <v>30945</v>
      </c>
      <c r="AR25" s="25">
        <v>31980</v>
      </c>
      <c r="AS25" s="25">
        <v>30283</v>
      </c>
      <c r="AT25" s="25">
        <v>23227</v>
      </c>
      <c r="AU25" s="25">
        <v>20628</v>
      </c>
      <c r="AV25" s="25">
        <v>19222</v>
      </c>
      <c r="AW25" s="25">
        <f t="shared" ref="AW25:AW26" si="7">SUM(C25:F25)</f>
        <v>18805</v>
      </c>
      <c r="AX25" s="25">
        <v>21280</v>
      </c>
      <c r="AY25" s="25">
        <f t="shared" ref="AY25:AY26" si="8">SUM(K25:N25)</f>
        <v>23724</v>
      </c>
      <c r="AZ25" s="25">
        <f t="shared" ref="AZ25:AZ26" si="9">SUM(O25:R25)</f>
        <v>31862</v>
      </c>
      <c r="BA25" s="34">
        <f t="shared" ref="BA25" si="10">SUM(S25:V25)</f>
        <v>29292</v>
      </c>
      <c r="BB25" s="43">
        <f t="shared" si="1"/>
        <v>28407.898106023924</v>
      </c>
      <c r="BC25" s="26">
        <f>BB25*IF($CC$11=1,1+$BZ$11,IF($CC$11=2,1+$CA$11,IF($CC$11=3,1+$CB$11,0)))</f>
        <v>29544.21403026488</v>
      </c>
      <c r="BD25" s="26">
        <f t="shared" ref="BD25:BS25" si="11">BC25*IF($CC$11=1,1+$BZ$11,IF($CC$11=2,1+$CA$11,IF($CC$11=3,1+$CB$11,0)))</f>
        <v>30725.982591475477</v>
      </c>
      <c r="BE25" s="26">
        <f t="shared" si="11"/>
        <v>31955.021895134498</v>
      </c>
      <c r="BF25" s="26">
        <f t="shared" si="11"/>
        <v>33233.222770939879</v>
      </c>
      <c r="BG25" s="26">
        <f t="shared" si="11"/>
        <v>34562.551681777477</v>
      </c>
      <c r="BH25" s="26">
        <f t="shared" si="11"/>
        <v>35945.05374904858</v>
      </c>
      <c r="BI25" s="26">
        <f t="shared" si="11"/>
        <v>37382.855899010523</v>
      </c>
      <c r="BJ25" s="26">
        <f t="shared" si="11"/>
        <v>38878.170134970947</v>
      </c>
      <c r="BK25" s="26">
        <f t="shared" si="11"/>
        <v>40433.296940369786</v>
      </c>
      <c r="BL25" s="26">
        <f t="shared" si="11"/>
        <v>42050.62881798458</v>
      </c>
      <c r="BM25" s="26">
        <f t="shared" si="11"/>
        <v>43732.653970703963</v>
      </c>
      <c r="BN25" s="26">
        <f t="shared" si="11"/>
        <v>45481.960129532126</v>
      </c>
      <c r="BO25" s="26">
        <f t="shared" si="11"/>
        <v>47301.238534713411</v>
      </c>
      <c r="BP25" s="26">
        <f>BO25*IF($CC$11=1,1+$BZ$11,IF($CC$11=2,1+$CA$11,IF($CC$11=3,1+$CB$11,0)))</f>
        <v>49193.288076101948</v>
      </c>
      <c r="BQ25" s="26">
        <f t="shared" si="11"/>
        <v>51161.019599146028</v>
      </c>
      <c r="BR25" s="26">
        <f t="shared" si="11"/>
        <v>53207.460383111873</v>
      </c>
      <c r="BS25" s="26">
        <f t="shared" si="11"/>
        <v>55335.758798436349</v>
      </c>
      <c r="BX25" s="22"/>
      <c r="BY25" s="1" t="s">
        <v>64</v>
      </c>
      <c r="BZ25" s="25">
        <f>CC23</f>
        <v>15811.0355</v>
      </c>
      <c r="CA25" s="1"/>
      <c r="CB25" s="1" t="s">
        <v>75</v>
      </c>
      <c r="CC25" s="20">
        <f>$X$64</f>
        <v>166333</v>
      </c>
    </row>
    <row r="26" spans="1:96" x14ac:dyDescent="0.35">
      <c r="A26" t="s">
        <v>25</v>
      </c>
      <c r="B26" s="9" t="s">
        <v>105</v>
      </c>
      <c r="C26" s="12">
        <v>5481</v>
      </c>
      <c r="D26" s="12">
        <v>3954</v>
      </c>
      <c r="E26" s="12">
        <v>3740</v>
      </c>
      <c r="F26" s="12">
        <f>17417-E26-D26-C26</f>
        <v>4242</v>
      </c>
      <c r="G26" s="12">
        <v>7308</v>
      </c>
      <c r="H26" s="12">
        <v>5129</v>
      </c>
      <c r="I26" s="12">
        <v>5525</v>
      </c>
      <c r="J26" s="12">
        <f>24482-I26-H26-G26</f>
        <v>6520</v>
      </c>
      <c r="K26" s="12">
        <v>10010</v>
      </c>
      <c r="L26" s="12">
        <v>6284</v>
      </c>
      <c r="M26" s="12">
        <v>6450</v>
      </c>
      <c r="N26" s="12">
        <v>7876</v>
      </c>
      <c r="O26" s="12">
        <v>12971</v>
      </c>
      <c r="P26" s="12">
        <v>7836</v>
      </c>
      <c r="Q26" s="12">
        <v>8775</v>
      </c>
      <c r="R26" s="12">
        <v>8785</v>
      </c>
      <c r="S26" s="12">
        <v>14701</v>
      </c>
      <c r="T26" s="12">
        <v>8806</v>
      </c>
      <c r="U26" s="12">
        <v>8084</v>
      </c>
      <c r="V26" s="12">
        <v>9650</v>
      </c>
      <c r="W26" s="12">
        <v>13482</v>
      </c>
      <c r="X26" s="12">
        <v>8757</v>
      </c>
      <c r="Y26" s="20">
        <v>8284</v>
      </c>
      <c r="Z26" s="53">
        <f>Z28*$AI$14</f>
        <v>8600.6318912221122</v>
      </c>
      <c r="AA26" s="53">
        <f>AA28*$AI$14</f>
        <v>11110.554189986793</v>
      </c>
      <c r="AC26" s="12"/>
      <c r="AD26" s="12"/>
      <c r="AE26" s="12">
        <v>809</v>
      </c>
      <c r="AF26" s="25">
        <v>387</v>
      </c>
      <c r="AG26" s="25">
        <f>143+4+527</f>
        <v>674</v>
      </c>
      <c r="AH26" s="25">
        <f>345+691</f>
        <v>1036</v>
      </c>
      <c r="AI26" s="25">
        <f>1306+951</f>
        <v>2257</v>
      </c>
      <c r="AJ26" s="25">
        <f>4540+1126</f>
        <v>5666</v>
      </c>
      <c r="AK26" s="25">
        <f>7676+1100</f>
        <v>8776</v>
      </c>
      <c r="AL26" s="25">
        <f>8305+1260</f>
        <v>9565</v>
      </c>
      <c r="AM26" s="25">
        <f>9153+1694</f>
        <v>10847</v>
      </c>
      <c r="AN26" s="25">
        <f>1475+8091</f>
        <v>9566</v>
      </c>
      <c r="AO26" s="25">
        <f>1814+8274</f>
        <v>10088</v>
      </c>
      <c r="AP26" s="25">
        <f>7453+4474</f>
        <v>11927</v>
      </c>
      <c r="AQ26" s="25">
        <f>5145+5615</f>
        <v>10760</v>
      </c>
      <c r="AR26" s="25">
        <f>4411+5706</f>
        <v>10117</v>
      </c>
      <c r="AS26" s="25">
        <f>6093+2286</f>
        <v>8379</v>
      </c>
      <c r="AT26" s="25">
        <v>10067</v>
      </c>
      <c r="AU26" s="25">
        <v>11132</v>
      </c>
      <c r="AV26" s="25">
        <v>12863</v>
      </c>
      <c r="AW26" s="25">
        <f t="shared" si="7"/>
        <v>17417</v>
      </c>
      <c r="AX26" s="25">
        <v>24482</v>
      </c>
      <c r="AY26" s="25">
        <f t="shared" si="8"/>
        <v>30620</v>
      </c>
      <c r="AZ26" s="25">
        <f t="shared" si="9"/>
        <v>38367</v>
      </c>
      <c r="BA26" s="34">
        <f>SUM(S26:V26)</f>
        <v>41241</v>
      </c>
      <c r="BB26" s="43">
        <f t="shared" si="1"/>
        <v>39123.63189122211</v>
      </c>
      <c r="BC26" s="26">
        <f>BB26*IF($CC$12=1,1+$BZ$12,IF($CC$12=2,1+$CA$12,IF($CC$12=3,1+$CB$12,0)))</f>
        <v>42644.758761432102</v>
      </c>
      <c r="BD26" s="26">
        <f t="shared" ref="BD26:BS26" si="12">BC26*IF($CC$12=1,1+$BZ$12,IF($CC$12=2,1+$CA$12,IF($CC$12=3,1+$CB$12,0)))</f>
        <v>46482.787049960993</v>
      </c>
      <c r="BE26" s="26">
        <f t="shared" si="12"/>
        <v>50666.237884457485</v>
      </c>
      <c r="BF26" s="26">
        <f t="shared" si="12"/>
        <v>55226.199294058664</v>
      </c>
      <c r="BG26" s="26">
        <f t="shared" si="12"/>
        <v>60196.557230523948</v>
      </c>
      <c r="BH26" s="26">
        <f t="shared" si="12"/>
        <v>65614.24738127111</v>
      </c>
      <c r="BI26" s="26">
        <f t="shared" si="12"/>
        <v>71519.529645585513</v>
      </c>
      <c r="BJ26" s="26">
        <f t="shared" si="12"/>
        <v>77956.287313688212</v>
      </c>
      <c r="BK26" s="26">
        <f t="shared" si="12"/>
        <v>84972.353171920156</v>
      </c>
      <c r="BL26" s="26">
        <f t="shared" si="12"/>
        <v>92619.864957392972</v>
      </c>
      <c r="BM26" s="26">
        <f t="shared" si="12"/>
        <v>100955.65280355835</v>
      </c>
      <c r="BN26" s="26">
        <f t="shared" si="12"/>
        <v>110041.6615558786</v>
      </c>
      <c r="BO26" s="26">
        <f t="shared" si="12"/>
        <v>119945.41109590768</v>
      </c>
      <c r="BP26" s="26">
        <f>BO26*IF($CC$12=1,1+$BZ$12,IF($CC$12=2,1+$CA$12,IF($CC$12=3,1+$CB$12,0)))</f>
        <v>130740.49809453938</v>
      </c>
      <c r="BQ26" s="26">
        <f t="shared" si="12"/>
        <v>142507.14292304794</v>
      </c>
      <c r="BR26" s="26">
        <f t="shared" si="12"/>
        <v>155332.78578612226</v>
      </c>
      <c r="BS26" s="26">
        <f t="shared" si="12"/>
        <v>169312.73650687328</v>
      </c>
      <c r="BX26" s="22"/>
      <c r="BY26" s="1" t="s">
        <v>182</v>
      </c>
      <c r="BZ26" s="46">
        <f>$BZ$24/$BZ$25</f>
        <v>174.28380712572417</v>
      </c>
      <c r="CA26" s="1"/>
      <c r="CB26" s="1" t="s">
        <v>86</v>
      </c>
      <c r="CC26" s="20">
        <f>$X$76</f>
        <v>109615</v>
      </c>
    </row>
    <row r="27" spans="1:96" x14ac:dyDescent="0.35">
      <c r="B27" s="9"/>
      <c r="C27" s="12"/>
      <c r="D27" s="12"/>
      <c r="E27" s="12"/>
      <c r="F27" s="12"/>
      <c r="G27" s="12"/>
      <c r="H27" s="12"/>
      <c r="I27" s="12"/>
      <c r="J27" s="12"/>
      <c r="K27" s="12"/>
      <c r="L27" s="12"/>
      <c r="M27" s="12"/>
      <c r="N27" s="12"/>
      <c r="O27" s="12"/>
      <c r="P27" s="12"/>
      <c r="Q27" s="12"/>
      <c r="R27" s="12"/>
      <c r="S27" s="12"/>
      <c r="T27" s="12"/>
      <c r="U27" s="12"/>
      <c r="V27" s="12"/>
      <c r="W27" s="12"/>
      <c r="X27" s="12"/>
      <c r="Y27" s="22"/>
      <c r="AC27" s="12"/>
      <c r="AD27" s="12"/>
      <c r="AE27" s="12"/>
      <c r="AF27" s="25"/>
      <c r="AG27" s="25"/>
      <c r="AH27" s="25"/>
      <c r="AI27" s="25"/>
      <c r="AJ27" s="25"/>
      <c r="AK27" s="25"/>
      <c r="AL27" s="25"/>
      <c r="AM27" s="25"/>
      <c r="AN27" s="25"/>
      <c r="AO27" s="25"/>
      <c r="AP27" s="25"/>
      <c r="AQ27" s="25"/>
      <c r="AR27" s="25"/>
      <c r="AS27" s="25"/>
      <c r="AT27" s="25"/>
      <c r="AU27" s="25"/>
      <c r="AV27" s="25"/>
      <c r="AW27" s="25"/>
      <c r="AX27" s="25"/>
      <c r="AY27" s="25"/>
      <c r="AZ27" s="25"/>
      <c r="BA27" s="34"/>
      <c r="BB27" s="43">
        <f t="shared" si="1"/>
        <v>0</v>
      </c>
      <c r="BX27" s="22"/>
      <c r="BY27" s="1" t="s">
        <v>183</v>
      </c>
      <c r="BZ27" s="46">
        <f>$BZ$26-$CC$22</f>
        <v>-4.3261928742758471</v>
      </c>
      <c r="CA27" s="1"/>
      <c r="CB27" s="1" t="s">
        <v>186</v>
      </c>
      <c r="CC27" s="20">
        <f>$CC$24+$CC$25-$CC$26</f>
        <v>2880727.0506550004</v>
      </c>
      <c r="CI27">
        <f>2970*1.3</f>
        <v>3861</v>
      </c>
    </row>
    <row r="28" spans="1:96" x14ac:dyDescent="0.35">
      <c r="A28" t="s">
        <v>25</v>
      </c>
      <c r="B28" s="9" t="s">
        <v>48</v>
      </c>
      <c r="C28" s="9">
        <f t="shared" ref="C28:K28" si="13">SUM(C24:C26)+C20</f>
        <v>79164</v>
      </c>
      <c r="D28" s="9">
        <f t="shared" si="13"/>
        <v>51947</v>
      </c>
      <c r="E28" s="9">
        <f t="shared" si="13"/>
        <v>43717</v>
      </c>
      <c r="F28" s="9">
        <f t="shared" si="13"/>
        <v>53577</v>
      </c>
      <c r="G28" s="9">
        <f t="shared" si="13"/>
        <v>73435</v>
      </c>
      <c r="H28" s="9">
        <f t="shared" si="13"/>
        <v>46565</v>
      </c>
      <c r="I28" s="9">
        <f t="shared" si="13"/>
        <v>42354</v>
      </c>
      <c r="J28" s="9">
        <f t="shared" si="13"/>
        <v>51529</v>
      </c>
      <c r="K28" s="9">
        <f t="shared" si="13"/>
        <v>79104</v>
      </c>
      <c r="L28" s="9">
        <f t="shared" ref="L28:R28" si="14">SUM(L24:L26)+L20</f>
        <v>44965</v>
      </c>
      <c r="M28" s="9">
        <f t="shared" si="14"/>
        <v>46529</v>
      </c>
      <c r="N28" s="9">
        <f t="shared" si="14"/>
        <v>50149</v>
      </c>
      <c r="O28" s="9">
        <f t="shared" si="14"/>
        <v>95678</v>
      </c>
      <c r="P28" s="9">
        <f t="shared" si="14"/>
        <v>72683</v>
      </c>
      <c r="Q28" s="9">
        <f t="shared" si="14"/>
        <v>63948</v>
      </c>
      <c r="R28" s="9">
        <f t="shared" si="14"/>
        <v>65083</v>
      </c>
      <c r="S28" s="9">
        <f>SUM(S24:S26)+S20</f>
        <v>104429</v>
      </c>
      <c r="T28" s="9">
        <f>SUM(T24:T26)+T20</f>
        <v>77457</v>
      </c>
      <c r="U28" s="9">
        <f>SUM(U24:U26)+U20</f>
        <v>63355</v>
      </c>
      <c r="V28" s="9">
        <f>SUM(V24:V26)+V20</f>
        <v>70958</v>
      </c>
      <c r="W28" s="9">
        <v>96388</v>
      </c>
      <c r="X28" s="9">
        <v>73929</v>
      </c>
      <c r="Y28" s="21">
        <f>Y26+Y25+Y24+Y20</f>
        <v>60584</v>
      </c>
      <c r="Z28" s="53">
        <f>V28*(1+AVERAGE($Y$51,V51))</f>
        <v>72608.897463304733</v>
      </c>
      <c r="AA28" s="53">
        <f>W28*(1+AVERAGE($Z$51,W51))</f>
        <v>93798.351114712073</v>
      </c>
      <c r="AC28" s="9"/>
      <c r="AD28" s="9"/>
      <c r="AE28" s="9">
        <f t="shared" ref="AE28:AN28" si="15">SUM(AE24:AE26)+AE20</f>
        <v>6885</v>
      </c>
      <c r="AF28" s="26">
        <f t="shared" si="15"/>
        <v>4790</v>
      </c>
      <c r="AG28" s="26">
        <f>SUM(AG24:AG26)+AG20</f>
        <v>5208</v>
      </c>
      <c r="AH28" s="26">
        <f t="shared" si="15"/>
        <v>5527</v>
      </c>
      <c r="AI28" s="26">
        <f t="shared" si="15"/>
        <v>7180</v>
      </c>
      <c r="AJ28" s="26">
        <f t="shared" si="15"/>
        <v>11941</v>
      </c>
      <c r="AK28" s="26">
        <f t="shared" si="15"/>
        <v>16151</v>
      </c>
      <c r="AL28" s="26">
        <f>SUM(AL24:AL26)+AL20</f>
        <v>20002</v>
      </c>
      <c r="AM28" s="26">
        <f t="shared" si="15"/>
        <v>31943</v>
      </c>
      <c r="AN28" s="26">
        <f t="shared" si="15"/>
        <v>36458</v>
      </c>
      <c r="AO28" s="26">
        <f>SUM(AO24:AO26)+AO20</f>
        <v>57704</v>
      </c>
      <c r="AP28" s="26">
        <f t="shared" ref="AP28:AX28" si="16">SUM(AP24:AP26)+AP20</f>
        <v>98876</v>
      </c>
      <c r="AQ28" s="26">
        <f t="shared" si="16"/>
        <v>143618</v>
      </c>
      <c r="AR28" s="26">
        <f t="shared" si="16"/>
        <v>154859</v>
      </c>
      <c r="AS28" s="26">
        <f>SUM(AS24:AS26)+AS20</f>
        <v>164732</v>
      </c>
      <c r="AT28" s="26">
        <f t="shared" si="16"/>
        <v>213806</v>
      </c>
      <c r="AU28" s="26">
        <f t="shared" si="16"/>
        <v>191291</v>
      </c>
      <c r="AV28" s="26">
        <f>SUM(AV24:AV26)+AV20</f>
        <v>199254</v>
      </c>
      <c r="AW28" s="26">
        <f>SUM(AW24:AW26)+AW20</f>
        <v>228405</v>
      </c>
      <c r="AX28" s="26">
        <f t="shared" si="16"/>
        <v>213883</v>
      </c>
      <c r="AY28" s="26">
        <f>SUM(AY24:AY26)+AY20</f>
        <v>220747</v>
      </c>
      <c r="AZ28" s="26">
        <f>SUM(AZ24:AZ26)+AZ20</f>
        <v>297392</v>
      </c>
      <c r="BA28" s="30">
        <f>SUM(BA24:BA26)+BA20</f>
        <v>316199</v>
      </c>
      <c r="BB28" s="43">
        <f>SUM(W28:Z28)</f>
        <v>303509.89746330475</v>
      </c>
      <c r="BC28" s="26">
        <f>SUM(BC24:BC26)+BC20</f>
        <v>318642.45176552446</v>
      </c>
      <c r="BD28" s="26">
        <f>SUM(BD24:BD26)+BD20</f>
        <v>334602.98353975406</v>
      </c>
      <c r="BE28" s="26">
        <f>SUM(BE24:BE26)+BE20</f>
        <v>351442.55480882857</v>
      </c>
      <c r="BF28" s="26">
        <f t="shared" ref="BF28:BS28" si="17">SUM(BF24:BF26)+BF20</f>
        <v>369215.79053626524</v>
      </c>
      <c r="BG28" s="26">
        <f t="shared" si="17"/>
        <v>387981.15373711818</v>
      </c>
      <c r="BH28" s="26">
        <f t="shared" si="17"/>
        <v>407801.24333548994</v>
      </c>
      <c r="BI28" s="26">
        <f t="shared" si="17"/>
        <v>428743.11672676512</v>
      </c>
      <c r="BJ28" s="26">
        <f t="shared" si="17"/>
        <v>450878.6391749027</v>
      </c>
      <c r="BK28" s="26">
        <f t="shared" si="17"/>
        <v>474284.86236272642</v>
      </c>
      <c r="BL28" s="26">
        <f t="shared" si="17"/>
        <v>499044.43461745611</v>
      </c>
      <c r="BM28" s="26">
        <f t="shared" si="17"/>
        <v>525246.04555622174</v>
      </c>
      <c r="BN28" s="26">
        <f t="shared" si="17"/>
        <v>552984.90813862509</v>
      </c>
      <c r="BO28" s="26">
        <f t="shared" si="17"/>
        <v>582363.28137733962</v>
      </c>
      <c r="BP28" s="26">
        <f>SUM(BP24:BP26)+BP20</f>
        <v>613491.03724519606</v>
      </c>
      <c r="BQ28" s="26">
        <f t="shared" si="17"/>
        <v>646486.27563030692</v>
      </c>
      <c r="BR28" s="26">
        <f t="shared" si="17"/>
        <v>681475.99153182353</v>
      </c>
      <c r="BS28" s="26">
        <f t="shared" si="17"/>
        <v>718596.79906041129</v>
      </c>
      <c r="BX28" s="22"/>
      <c r="BZ28" s="7">
        <f>$BZ$27/$CC$22</f>
        <v>-2.4221448263119907E-2</v>
      </c>
      <c r="CA28" s="1"/>
      <c r="CB28" s="1"/>
      <c r="CC28" s="19"/>
    </row>
    <row r="29" spans="1:96" x14ac:dyDescent="0.35">
      <c r="B29" s="9" t="s">
        <v>49</v>
      </c>
      <c r="C29" s="9">
        <v>9129</v>
      </c>
      <c r="D29" s="9">
        <v>9190</v>
      </c>
      <c r="E29" s="9">
        <v>9548</v>
      </c>
      <c r="F29" s="9">
        <f>37190-E29-D29-C29</f>
        <v>9323</v>
      </c>
      <c r="G29" s="9">
        <v>10875</v>
      </c>
      <c r="H29" s="9">
        <v>11450</v>
      </c>
      <c r="I29" s="9">
        <v>11455</v>
      </c>
      <c r="J29" s="9">
        <f>46291-I29-H29-G29</f>
        <v>12511</v>
      </c>
      <c r="K29" s="9">
        <v>12715</v>
      </c>
      <c r="L29" s="9">
        <v>13348</v>
      </c>
      <c r="M29" s="9">
        <v>13156</v>
      </c>
      <c r="N29" s="9">
        <v>14549</v>
      </c>
      <c r="O29" s="9">
        <v>15761</v>
      </c>
      <c r="P29" s="9">
        <v>16901</v>
      </c>
      <c r="Q29" s="9">
        <v>17486</v>
      </c>
      <c r="R29" s="9">
        <v>18277</v>
      </c>
      <c r="S29" s="9">
        <v>19516</v>
      </c>
      <c r="T29" s="9">
        <v>19821</v>
      </c>
      <c r="U29" s="9">
        <v>19604</v>
      </c>
      <c r="V29" s="9">
        <v>19188</v>
      </c>
      <c r="W29" s="9">
        <v>20766</v>
      </c>
      <c r="X29" s="9">
        <v>20907</v>
      </c>
      <c r="Y29" s="21">
        <v>21213</v>
      </c>
      <c r="Z29" s="53">
        <f>V29*(1+AVERAGE($Y$52,V52))</f>
        <v>20453.632354168374</v>
      </c>
      <c r="AA29" s="53">
        <f>W29*(1+AVERAGE($Z$52,W52))</f>
        <v>22115.889539359465</v>
      </c>
      <c r="AC29" s="9"/>
      <c r="AD29" s="9"/>
      <c r="AE29" s="9">
        <v>1098</v>
      </c>
      <c r="AF29" s="26">
        <f>343+230</f>
        <v>573</v>
      </c>
      <c r="AG29" s="26">
        <f>307+227</f>
        <v>534</v>
      </c>
      <c r="AH29" s="26">
        <f>644+36</f>
        <v>680</v>
      </c>
      <c r="AI29" s="26">
        <f>821+278</f>
        <v>1099</v>
      </c>
      <c r="AJ29" s="26">
        <f>899+1091</f>
        <v>1990</v>
      </c>
      <c r="AK29" s="26">
        <f>1885+1279</f>
        <v>3164</v>
      </c>
      <c r="AL29" s="26">
        <f>2496+1508</f>
        <v>4004</v>
      </c>
      <c r="AM29" s="26">
        <f>2208+3340</f>
        <v>5548</v>
      </c>
      <c r="AN29" s="26">
        <f>2411+4036</f>
        <v>6447</v>
      </c>
      <c r="AO29" s="26">
        <f>2573+4948</f>
        <v>7521</v>
      </c>
      <c r="AP29" s="26">
        <v>9373</v>
      </c>
      <c r="AQ29" s="26">
        <v>12890</v>
      </c>
      <c r="AR29" s="26">
        <v>16051</v>
      </c>
      <c r="AS29" s="26">
        <v>18063</v>
      </c>
      <c r="AT29" s="26">
        <v>19909</v>
      </c>
      <c r="AU29" s="26">
        <v>24348</v>
      </c>
      <c r="AV29" s="26">
        <v>29980</v>
      </c>
      <c r="AW29" s="25">
        <f>SUM(C29:F29)</f>
        <v>37190</v>
      </c>
      <c r="AX29" s="25">
        <f>SUM(G29:J29)</f>
        <v>46291</v>
      </c>
      <c r="AY29" s="25">
        <f>SUM(K29:N29)</f>
        <v>53768</v>
      </c>
      <c r="AZ29" s="25">
        <f>SUM(O29:R29)</f>
        <v>68425</v>
      </c>
      <c r="BA29" s="34">
        <f>SUM(S29:V29)</f>
        <v>78129</v>
      </c>
      <c r="BB29" s="43">
        <f t="shared" si="1"/>
        <v>83339.632354168367</v>
      </c>
      <c r="BC29" s="26">
        <f>BB29*IF($CC$13=1,(1+$BZ$13),IF($CC$13=2,(1+$CA$13),IF($CC$13=3,(1+$CB$13),)))</f>
        <v>92506.991913126898</v>
      </c>
      <c r="BD29" s="26">
        <f t="shared" ref="BD29:BS29" si="18">BC29*IF($CC$13=1,(1+$BZ$13),IF($CC$13=2,(1+$CA$13),IF($CC$13=3,(1+$CB$13),)))</f>
        <v>102682.76102357087</v>
      </c>
      <c r="BE29" s="26">
        <f t="shared" si="18"/>
        <v>113977.86473616368</v>
      </c>
      <c r="BF29" s="26">
        <f t="shared" si="18"/>
        <v>126515.4298571417</v>
      </c>
      <c r="BG29" s="26">
        <f t="shared" si="18"/>
        <v>140432.12714142731</v>
      </c>
      <c r="BH29" s="26">
        <f t="shared" si="18"/>
        <v>155879.66112698431</v>
      </c>
      <c r="BI29" s="26">
        <f t="shared" si="18"/>
        <v>173026.42385095259</v>
      </c>
      <c r="BJ29" s="26">
        <f t="shared" si="18"/>
        <v>192059.33047455738</v>
      </c>
      <c r="BK29" s="26">
        <f t="shared" si="18"/>
        <v>213185.85682675871</v>
      </c>
      <c r="BL29" s="26">
        <f t="shared" si="18"/>
        <v>236636.3010777022</v>
      </c>
      <c r="BM29" s="26">
        <f t="shared" si="18"/>
        <v>262666.29419624945</v>
      </c>
      <c r="BN29" s="26">
        <f t="shared" si="18"/>
        <v>291559.58655783691</v>
      </c>
      <c r="BO29" s="26">
        <f t="shared" si="18"/>
        <v>323631.14107919898</v>
      </c>
      <c r="BP29" s="26">
        <f>BO29*IF($CC$13=1,(1+$BZ$13),IF($CC$13=2,(1+$CA$13),IF($CC$13=3,(1+$CB$13),)))</f>
        <v>359230.56659791089</v>
      </c>
      <c r="BQ29" s="26">
        <f t="shared" si="18"/>
        <v>398745.92892368115</v>
      </c>
      <c r="BR29" s="26">
        <f t="shared" si="18"/>
        <v>442607.9811052861</v>
      </c>
      <c r="BS29" s="26">
        <f t="shared" si="18"/>
        <v>491294.85902686761</v>
      </c>
      <c r="BY29" s="52"/>
      <c r="BZ29" s="52"/>
      <c r="CA29" s="52"/>
      <c r="CB29" s="52"/>
      <c r="CC29" s="52"/>
      <c r="CI29">
        <f>CI27-2300</f>
        <v>1561</v>
      </c>
    </row>
    <row r="30" spans="1:96" x14ac:dyDescent="0.35">
      <c r="B30" s="10" t="s">
        <v>50</v>
      </c>
      <c r="C30" s="10">
        <f t="shared" ref="C30:E30" si="19">+C28+C29</f>
        <v>88293</v>
      </c>
      <c r="D30" s="10">
        <f t="shared" si="19"/>
        <v>61137</v>
      </c>
      <c r="E30" s="10">
        <f t="shared" si="19"/>
        <v>53265</v>
      </c>
      <c r="F30" s="10">
        <f>+F28+F29</f>
        <v>62900</v>
      </c>
      <c r="G30" s="10">
        <f>SUM(G28:G29)</f>
        <v>84310</v>
      </c>
      <c r="H30" s="10">
        <f>SUM(H28:H29)</f>
        <v>58015</v>
      </c>
      <c r="I30" s="10">
        <f>SUM(I28:I29)</f>
        <v>53809</v>
      </c>
      <c r="J30" s="10">
        <f>SUM(J28:J29)</f>
        <v>64040</v>
      </c>
      <c r="K30" s="10">
        <f t="shared" ref="K30:N30" si="20">+K28+K29</f>
        <v>91819</v>
      </c>
      <c r="L30" s="10">
        <f t="shared" si="20"/>
        <v>58313</v>
      </c>
      <c r="M30" s="10">
        <f t="shared" si="20"/>
        <v>59685</v>
      </c>
      <c r="N30" s="10">
        <f t="shared" si="20"/>
        <v>64698</v>
      </c>
      <c r="O30" s="10">
        <f>+O28+O29</f>
        <v>111439</v>
      </c>
      <c r="P30" s="10">
        <f>+P28+P29</f>
        <v>89584</v>
      </c>
      <c r="Q30" s="10">
        <f>+Q28+Q29</f>
        <v>81434</v>
      </c>
      <c r="R30" s="10">
        <f t="shared" ref="R30:S30" si="21">+R28+R29</f>
        <v>83360</v>
      </c>
      <c r="S30" s="10">
        <f t="shared" si="21"/>
        <v>123945</v>
      </c>
      <c r="T30" s="10">
        <f>+T28+T29</f>
        <v>97278</v>
      </c>
      <c r="U30" s="10">
        <f t="shared" ref="U30" si="22">+U28+U29</f>
        <v>82959</v>
      </c>
      <c r="V30" s="10">
        <f>+V28+V29</f>
        <v>90146</v>
      </c>
      <c r="W30" s="10">
        <f>+W29+W28</f>
        <v>117154</v>
      </c>
      <c r="X30" s="10">
        <f>+X29+X28</f>
        <v>94836</v>
      </c>
      <c r="Y30" s="54">
        <f>SUM(Y28:Y29)</f>
        <v>81797</v>
      </c>
      <c r="Z30" s="31">
        <f>SUM(Z28:Z29)</f>
        <v>93062.529817473114</v>
      </c>
      <c r="AA30" s="31">
        <f>SUM(AA28:AA29)</f>
        <v>115914.24065407153</v>
      </c>
      <c r="AC30" s="10">
        <v>5941</v>
      </c>
      <c r="AD30" s="10">
        <v>6134</v>
      </c>
      <c r="AE30" s="10">
        <f>+AE28+AE29</f>
        <v>7983</v>
      </c>
      <c r="AF30" s="35">
        <f t="shared" ref="AF30:AX30" si="23">+AF28+AF29</f>
        <v>5363</v>
      </c>
      <c r="AG30" s="35">
        <f t="shared" si="23"/>
        <v>5742</v>
      </c>
      <c r="AH30" s="35">
        <f t="shared" si="23"/>
        <v>6207</v>
      </c>
      <c r="AI30" s="35">
        <f t="shared" si="23"/>
        <v>8279</v>
      </c>
      <c r="AJ30" s="35">
        <f t="shared" si="23"/>
        <v>13931</v>
      </c>
      <c r="AK30" s="35">
        <f t="shared" si="23"/>
        <v>19315</v>
      </c>
      <c r="AL30" s="35">
        <v>24006</v>
      </c>
      <c r="AM30" s="35">
        <f t="shared" si="23"/>
        <v>37491</v>
      </c>
      <c r="AN30" s="35">
        <f t="shared" si="23"/>
        <v>42905</v>
      </c>
      <c r="AO30" s="35">
        <f t="shared" si="23"/>
        <v>65225</v>
      </c>
      <c r="AP30" s="35">
        <f t="shared" si="23"/>
        <v>108249</v>
      </c>
      <c r="AQ30" s="35">
        <f t="shared" si="23"/>
        <v>156508</v>
      </c>
      <c r="AR30" s="35">
        <f t="shared" si="23"/>
        <v>170910</v>
      </c>
      <c r="AS30" s="35">
        <f t="shared" si="23"/>
        <v>182795</v>
      </c>
      <c r="AT30" s="35">
        <f t="shared" si="23"/>
        <v>233715</v>
      </c>
      <c r="AU30" s="35">
        <f t="shared" si="23"/>
        <v>215639</v>
      </c>
      <c r="AV30" s="35">
        <f t="shared" si="23"/>
        <v>229234</v>
      </c>
      <c r="AW30" s="35">
        <f>+AW28+AW29</f>
        <v>265595</v>
      </c>
      <c r="AX30" s="35">
        <f t="shared" si="23"/>
        <v>260174</v>
      </c>
      <c r="AY30" s="35">
        <f>+AY28+AY29</f>
        <v>274515</v>
      </c>
      <c r="AZ30" s="35">
        <f>+AZ28+AZ29</f>
        <v>365817</v>
      </c>
      <c r="BA30" s="36">
        <f>+BA28+BA29</f>
        <v>394328</v>
      </c>
      <c r="BB30" s="44">
        <f>SUM(W30:Z30)</f>
        <v>386849.52981747314</v>
      </c>
      <c r="BC30" s="26">
        <f>SUM(BC28:BC29)</f>
        <v>411149.44367865135</v>
      </c>
      <c r="BD30" s="26">
        <f t="shared" ref="BD30:BS30" si="24">SUM(BD28:BD29)</f>
        <v>437285.74456332496</v>
      </c>
      <c r="BE30" s="26">
        <f t="shared" si="24"/>
        <v>465420.41954499227</v>
      </c>
      <c r="BF30" s="26">
        <f t="shared" si="24"/>
        <v>495731.22039340693</v>
      </c>
      <c r="BG30" s="26">
        <f t="shared" si="24"/>
        <v>528413.28087854548</v>
      </c>
      <c r="BH30" s="26">
        <f t="shared" si="24"/>
        <v>563680.90446247428</v>
      </c>
      <c r="BI30" s="26">
        <f t="shared" si="24"/>
        <v>601769.54057771771</v>
      </c>
      <c r="BJ30" s="26">
        <f t="shared" si="24"/>
        <v>642937.96964946005</v>
      </c>
      <c r="BK30" s="26">
        <f t="shared" si="24"/>
        <v>687470.71918948507</v>
      </c>
      <c r="BL30" s="26">
        <f t="shared" si="24"/>
        <v>735680.73569515836</v>
      </c>
      <c r="BM30" s="26">
        <f t="shared" si="24"/>
        <v>787912.33975247119</v>
      </c>
      <c r="BN30" s="26">
        <f t="shared" si="24"/>
        <v>844544.49469646206</v>
      </c>
      <c r="BO30" s="26">
        <f t="shared" si="24"/>
        <v>905994.42245653854</v>
      </c>
      <c r="BP30" s="26">
        <f>SUM(BP28:BP29)</f>
        <v>972721.60384310689</v>
      </c>
      <c r="BQ30" s="26">
        <f t="shared" si="24"/>
        <v>1045232.2045539881</v>
      </c>
      <c r="BR30" s="26">
        <f t="shared" si="24"/>
        <v>1124083.9726371097</v>
      </c>
      <c r="BS30" s="26">
        <f t="shared" si="24"/>
        <v>1209891.6580872789</v>
      </c>
      <c r="CI30">
        <f>CI29-100-150-100-450</f>
        <v>761</v>
      </c>
    </row>
    <row r="31" spans="1:96" x14ac:dyDescent="0.35">
      <c r="B31" s="9" t="s">
        <v>51</v>
      </c>
      <c r="C31" s="9"/>
      <c r="D31" s="9">
        <v>33936</v>
      </c>
      <c r="E31" s="9">
        <v>28956</v>
      </c>
      <c r="F31" s="9"/>
      <c r="G31" s="9">
        <v>48238</v>
      </c>
      <c r="H31" s="9">
        <v>32047</v>
      </c>
      <c r="I31" s="9">
        <v>29473</v>
      </c>
      <c r="J31" s="9">
        <f>144996-I31-H31-G31</f>
        <v>35238</v>
      </c>
      <c r="K31" s="9">
        <v>52075</v>
      </c>
      <c r="L31" s="9">
        <v>31321</v>
      </c>
      <c r="M31" s="9">
        <v>32693</v>
      </c>
      <c r="N31" s="9">
        <v>35197</v>
      </c>
      <c r="O31" s="9">
        <v>62130</v>
      </c>
      <c r="P31" s="9">
        <v>46447</v>
      </c>
      <c r="Q31" s="9">
        <v>40899</v>
      </c>
      <c r="R31" s="9">
        <v>42790</v>
      </c>
      <c r="S31" s="9">
        <v>64309</v>
      </c>
      <c r="T31" s="9">
        <v>49290</v>
      </c>
      <c r="U31" s="9">
        <v>41485</v>
      </c>
      <c r="V31" s="9">
        <v>46387</v>
      </c>
      <c r="W31" s="9">
        <v>60765</v>
      </c>
      <c r="X31" s="9">
        <v>46795</v>
      </c>
      <c r="Y31" s="30">
        <v>39136</v>
      </c>
      <c r="Z31" s="26">
        <f>Z28*(1-Z57)</f>
        <v>46431.622351754064</v>
      </c>
      <c r="AA31" s="26">
        <f>AA28*(1-AA57)</f>
        <v>60286.769989747008</v>
      </c>
      <c r="AB31" s="9"/>
      <c r="AC31" s="9"/>
      <c r="AD31" s="9"/>
      <c r="AE31" s="9"/>
      <c r="AF31" s="26"/>
      <c r="AG31" s="26"/>
      <c r="AH31" s="26"/>
      <c r="AI31" s="26"/>
      <c r="AJ31" s="26"/>
      <c r="AK31" s="26"/>
      <c r="AL31" s="26"/>
      <c r="AM31" s="26"/>
      <c r="AN31" s="26"/>
      <c r="AO31" s="26"/>
      <c r="AP31" s="26"/>
      <c r="AQ31" s="26"/>
      <c r="AR31" s="26"/>
      <c r="AS31" s="26"/>
      <c r="AT31" s="26"/>
      <c r="AU31" s="26"/>
      <c r="AV31" s="26"/>
      <c r="AW31" s="25">
        <v>148164</v>
      </c>
      <c r="AX31" s="25">
        <v>144996</v>
      </c>
      <c r="AY31" s="25">
        <f>SUM(K31:N31)</f>
        <v>151286</v>
      </c>
      <c r="AZ31" s="25">
        <f>SUM(O31:R31)</f>
        <v>192266</v>
      </c>
      <c r="BA31" s="34">
        <f>SUM(S31:V31)</f>
        <v>201471</v>
      </c>
      <c r="BB31" s="43">
        <f t="shared" si="1"/>
        <v>193127.62235175405</v>
      </c>
      <c r="BC31" s="26">
        <f t="shared" ref="BC31:BS31" si="25">BC28-(IF($CC$15=1,BC28*$BZ$15,IF($CC$15=2,BC28*$CA$15,IF($CC$15=3,BC28*$CB$15))))</f>
        <v>210304.01816524612</v>
      </c>
      <c r="BD31" s="26">
        <f t="shared" si="25"/>
        <v>220837.96913623769</v>
      </c>
      <c r="BE31" s="26">
        <f t="shared" si="25"/>
        <v>231952.08617382683</v>
      </c>
      <c r="BF31" s="26">
        <f t="shared" si="25"/>
        <v>243682.42175393505</v>
      </c>
      <c r="BG31" s="26">
        <f t="shared" si="25"/>
        <v>256067.56146649798</v>
      </c>
      <c r="BH31" s="26">
        <f t="shared" si="25"/>
        <v>269148.82060142339</v>
      </c>
      <c r="BI31" s="26">
        <f t="shared" si="25"/>
        <v>282970.45703966497</v>
      </c>
      <c r="BJ31" s="26">
        <f t="shared" si="25"/>
        <v>297579.9018554358</v>
      </c>
      <c r="BK31" s="26">
        <f t="shared" si="25"/>
        <v>313028.00915939943</v>
      </c>
      <c r="BL31" s="26">
        <f t="shared" si="25"/>
        <v>329369.32684752101</v>
      </c>
      <c r="BM31" s="26">
        <f t="shared" si="25"/>
        <v>346662.39006710635</v>
      </c>
      <c r="BN31" s="26">
        <f t="shared" si="25"/>
        <v>364970.03937149257</v>
      </c>
      <c r="BO31" s="26">
        <f t="shared" si="25"/>
        <v>384359.76570904412</v>
      </c>
      <c r="BP31" s="26">
        <f t="shared" si="25"/>
        <v>404904.08458182937</v>
      </c>
      <c r="BQ31" s="26">
        <f t="shared" si="25"/>
        <v>426680.94191600254</v>
      </c>
      <c r="BR31" s="26">
        <f t="shared" si="25"/>
        <v>449774.15441100352</v>
      </c>
      <c r="BS31" s="26">
        <f t="shared" si="25"/>
        <v>474273.88737987145</v>
      </c>
    </row>
    <row r="32" spans="1:96" x14ac:dyDescent="0.35">
      <c r="B32" s="9" t="s">
        <v>52</v>
      </c>
      <c r="C32" s="9"/>
      <c r="D32" s="9">
        <v>3779</v>
      </c>
      <c r="E32" s="9">
        <v>3888</v>
      </c>
      <c r="F32" s="9"/>
      <c r="G32" s="9">
        <v>4041</v>
      </c>
      <c r="H32" s="9">
        <v>4147</v>
      </c>
      <c r="I32" s="9">
        <v>4109</v>
      </c>
      <c r="J32" s="9">
        <f>16786-I32-H32-G32</f>
        <v>4489</v>
      </c>
      <c r="K32" s="9">
        <v>4527</v>
      </c>
      <c r="L32" s="9">
        <v>4622</v>
      </c>
      <c r="M32" s="9">
        <v>4312</v>
      </c>
      <c r="N32" s="9">
        <v>4812</v>
      </c>
      <c r="O32" s="9">
        <v>4981</v>
      </c>
      <c r="P32" s="9">
        <v>5058</v>
      </c>
      <c r="Q32" s="9">
        <v>5280</v>
      </c>
      <c r="R32" s="9">
        <v>5396</v>
      </c>
      <c r="S32" s="9">
        <v>5393</v>
      </c>
      <c r="T32" s="9">
        <v>5429</v>
      </c>
      <c r="U32" s="9">
        <v>5589</v>
      </c>
      <c r="V32" s="9">
        <v>5664</v>
      </c>
      <c r="W32" s="9">
        <v>6057</v>
      </c>
      <c r="X32" s="9">
        <v>6065</v>
      </c>
      <c r="Y32" s="30">
        <v>6248</v>
      </c>
      <c r="Z32" s="26">
        <f>Z29*(1-Z56)</f>
        <v>5978.9096370115294</v>
      </c>
      <c r="AA32" s="26">
        <f>AA29*(1-AA56)</f>
        <v>6489.3733240948186</v>
      </c>
      <c r="AC32" s="9"/>
      <c r="AD32" s="9"/>
      <c r="AE32" s="9"/>
      <c r="AF32" s="26"/>
      <c r="AG32" s="26"/>
      <c r="AH32" s="26"/>
      <c r="AI32" s="26"/>
      <c r="AJ32" s="26"/>
      <c r="AK32" s="26"/>
      <c r="AL32" s="26"/>
      <c r="AM32" s="26"/>
      <c r="AN32" s="26"/>
      <c r="AO32" s="26"/>
      <c r="AP32" s="26"/>
      <c r="AQ32" s="26"/>
      <c r="AR32" s="26"/>
      <c r="AS32" s="26"/>
      <c r="AT32" s="26"/>
      <c r="AU32" s="26"/>
      <c r="AV32" s="26"/>
      <c r="AW32" s="25">
        <v>15592</v>
      </c>
      <c r="AX32" s="25">
        <v>16786</v>
      </c>
      <c r="AY32" s="25">
        <f>SUM(K32:N32)</f>
        <v>18273</v>
      </c>
      <c r="AZ32" s="25">
        <f>SUM(O32:R32)</f>
        <v>20715</v>
      </c>
      <c r="BA32" s="34">
        <f>SUM(S32:V32)</f>
        <v>22075</v>
      </c>
      <c r="BB32" s="43">
        <f t="shared" si="1"/>
        <v>24348.909637011529</v>
      </c>
      <c r="BC32" s="26">
        <f t="shared" ref="BC32:BS32" si="26">BC29-(IF($CC$14=1,BC29*$BZ$14,IF($CC$14=2,BC29*$CA$14,IF($CC$14=3,BC29*$CB$14))))</f>
        <v>28677.167493069341</v>
      </c>
      <c r="BD32" s="26">
        <f t="shared" si="26"/>
        <v>31831.655917306969</v>
      </c>
      <c r="BE32" s="26">
        <f t="shared" si="26"/>
        <v>35333.138068210741</v>
      </c>
      <c r="BF32" s="26">
        <f t="shared" si="26"/>
        <v>39219.783255713934</v>
      </c>
      <c r="BG32" s="26">
        <f t="shared" si="26"/>
        <v>43533.959413842473</v>
      </c>
      <c r="BH32" s="26">
        <f t="shared" si="26"/>
        <v>48322.694949365148</v>
      </c>
      <c r="BI32" s="26">
        <f t="shared" si="26"/>
        <v>53638.191393795307</v>
      </c>
      <c r="BJ32" s="26">
        <f t="shared" si="26"/>
        <v>59538.392447112798</v>
      </c>
      <c r="BK32" s="26">
        <f t="shared" si="26"/>
        <v>66087.615616295225</v>
      </c>
      <c r="BL32" s="26">
        <f t="shared" si="26"/>
        <v>73357.253334087698</v>
      </c>
      <c r="BM32" s="26">
        <f t="shared" si="26"/>
        <v>81426.551200837333</v>
      </c>
      <c r="BN32" s="26">
        <f t="shared" si="26"/>
        <v>90383.47183292947</v>
      </c>
      <c r="BO32" s="26">
        <f t="shared" si="26"/>
        <v>100325.65373455171</v>
      </c>
      <c r="BP32" s="26">
        <f t="shared" si="26"/>
        <v>111361.47564535239</v>
      </c>
      <c r="BQ32" s="26">
        <f t="shared" si="26"/>
        <v>123611.2379663412</v>
      </c>
      <c r="BR32" s="26">
        <f t="shared" si="26"/>
        <v>137208.47414263873</v>
      </c>
      <c r="BS32" s="26">
        <f t="shared" si="26"/>
        <v>152301.40629832901</v>
      </c>
    </row>
    <row r="33" spans="1:162" x14ac:dyDescent="0.35">
      <c r="B33" s="9" t="s">
        <v>53</v>
      </c>
      <c r="C33" s="9">
        <v>54381</v>
      </c>
      <c r="D33" s="9">
        <v>37715</v>
      </c>
      <c r="E33" s="9">
        <f>SUM(E31:E32)</f>
        <v>32844</v>
      </c>
      <c r="F33" s="9">
        <f>163756-E33-D33-C33</f>
        <v>38816</v>
      </c>
      <c r="G33" s="9">
        <f>SUM(G31:G32)</f>
        <v>52279</v>
      </c>
      <c r="H33" s="9">
        <f>SUM(H31:H32)</f>
        <v>36194</v>
      </c>
      <c r="I33" s="9">
        <f>SUM(I31:I32)</f>
        <v>33582</v>
      </c>
      <c r="J33" s="9">
        <f>SUM(J31:J32)</f>
        <v>39727</v>
      </c>
      <c r="K33" s="9">
        <f>+K31+K32</f>
        <v>56602</v>
      </c>
      <c r="L33" s="9">
        <f t="shared" ref="L33:N33" si="27">+L31+L32</f>
        <v>35943</v>
      </c>
      <c r="M33" s="9">
        <f t="shared" si="27"/>
        <v>37005</v>
      </c>
      <c r="N33" s="9">
        <f t="shared" si="27"/>
        <v>40009</v>
      </c>
      <c r="O33" s="9">
        <f>+O31+O32</f>
        <v>67111</v>
      </c>
      <c r="P33" s="9">
        <f>+P31+P32</f>
        <v>51505</v>
      </c>
      <c r="Q33" s="9">
        <f>+Q31+Q32</f>
        <v>46179</v>
      </c>
      <c r="R33" s="9">
        <f t="shared" ref="R33:S33" si="28">+R31+R32</f>
        <v>48186</v>
      </c>
      <c r="S33" s="9">
        <f t="shared" si="28"/>
        <v>69702</v>
      </c>
      <c r="T33" s="9">
        <f>+T31+T32</f>
        <v>54719</v>
      </c>
      <c r="U33" s="9">
        <f t="shared" ref="U33:V33" si="29">+U31+U32</f>
        <v>47074</v>
      </c>
      <c r="V33" s="9">
        <f t="shared" si="29"/>
        <v>52051</v>
      </c>
      <c r="W33" s="9">
        <f>+W31+W32</f>
        <v>66822</v>
      </c>
      <c r="X33" s="9">
        <f>+X31+X32</f>
        <v>52860</v>
      </c>
      <c r="Y33" s="30">
        <f>SUM(Y31:Y32)</f>
        <v>45384</v>
      </c>
      <c r="Z33" s="26">
        <f>SUM(Z31:Z32)</f>
        <v>52410.531988765593</v>
      </c>
      <c r="AA33" s="26">
        <f>SUM(AA31:AA32)</f>
        <v>66776.143313841822</v>
      </c>
      <c r="AC33" s="9"/>
      <c r="AD33" s="9"/>
      <c r="AE33" s="9">
        <v>5817</v>
      </c>
      <c r="AF33" s="26">
        <v>4128</v>
      </c>
      <c r="AG33" s="26">
        <v>4139</v>
      </c>
      <c r="AH33" s="26">
        <v>4499</v>
      </c>
      <c r="AI33" s="26">
        <v>6020</v>
      </c>
      <c r="AJ33" s="26">
        <v>9888</v>
      </c>
      <c r="AK33" s="26">
        <v>13717</v>
      </c>
      <c r="AL33" s="26">
        <v>15852</v>
      </c>
      <c r="AM33" s="26">
        <v>24294</v>
      </c>
      <c r="AN33" s="26">
        <v>25683</v>
      </c>
      <c r="AO33" s="26">
        <v>39541</v>
      </c>
      <c r="AP33" s="26">
        <v>64431</v>
      </c>
      <c r="AQ33" s="26">
        <v>87846</v>
      </c>
      <c r="AR33" s="26">
        <v>106606</v>
      </c>
      <c r="AS33" s="26">
        <v>112258</v>
      </c>
      <c r="AT33" s="26">
        <v>140089</v>
      </c>
      <c r="AU33" s="26">
        <v>131376</v>
      </c>
      <c r="AV33" s="26">
        <v>141048</v>
      </c>
      <c r="AW33" s="26">
        <f>+AW31+AW32</f>
        <v>163756</v>
      </c>
      <c r="AX33" s="26">
        <f>+AX31+AX32</f>
        <v>161782</v>
      </c>
      <c r="AY33" s="26">
        <f>+AY31+AY32</f>
        <v>169559</v>
      </c>
      <c r="AZ33" s="26">
        <f>+AZ31+AZ32</f>
        <v>212981</v>
      </c>
      <c r="BA33" s="30">
        <f>+BA31+BA32</f>
        <v>223546</v>
      </c>
      <c r="BB33" s="43">
        <f t="shared" si="1"/>
        <v>217476.53198876558</v>
      </c>
      <c r="BC33" s="9">
        <f>SUM(BC31:BC32)</f>
        <v>238981.18565831546</v>
      </c>
      <c r="BD33" s="9">
        <f t="shared" ref="BD33:BS33" si="30">SUM(BD31:BD32)</f>
        <v>252669.62505354465</v>
      </c>
      <c r="BE33" s="9">
        <f t="shared" si="30"/>
        <v>267285.22424203757</v>
      </c>
      <c r="BF33" s="9">
        <f t="shared" si="30"/>
        <v>282902.20500964898</v>
      </c>
      <c r="BG33" s="9">
        <f t="shared" si="30"/>
        <v>299601.52088034048</v>
      </c>
      <c r="BH33" s="9">
        <f t="shared" si="30"/>
        <v>317471.51555078855</v>
      </c>
      <c r="BI33" s="9">
        <f t="shared" si="30"/>
        <v>336608.64843346027</v>
      </c>
      <c r="BJ33" s="9">
        <f t="shared" si="30"/>
        <v>357118.29430254863</v>
      </c>
      <c r="BK33" s="9">
        <f t="shared" si="30"/>
        <v>379115.62477569468</v>
      </c>
      <c r="BL33" s="9">
        <f t="shared" si="30"/>
        <v>402726.58018160868</v>
      </c>
      <c r="BM33" s="9">
        <f t="shared" si="30"/>
        <v>428088.94126794371</v>
      </c>
      <c r="BN33" s="9">
        <f t="shared" si="30"/>
        <v>455353.51120442204</v>
      </c>
      <c r="BO33" s="9">
        <f t="shared" si="30"/>
        <v>484685.41944359581</v>
      </c>
      <c r="BP33" s="9">
        <f t="shared" si="30"/>
        <v>516265.56022718176</v>
      </c>
      <c r="BQ33" s="9">
        <f t="shared" si="30"/>
        <v>550292.17988234374</v>
      </c>
      <c r="BR33" s="9">
        <f t="shared" si="30"/>
        <v>586982.62855364219</v>
      </c>
      <c r="BS33" s="9">
        <f t="shared" si="30"/>
        <v>626575.29367820045</v>
      </c>
    </row>
    <row r="34" spans="1:162" x14ac:dyDescent="0.35">
      <c r="B34" s="9" t="s">
        <v>54</v>
      </c>
      <c r="C34" s="9">
        <f t="shared" ref="C34:F34" si="31">+C30-C33</f>
        <v>33912</v>
      </c>
      <c r="D34" s="9">
        <f t="shared" si="31"/>
        <v>23422</v>
      </c>
      <c r="E34" s="9">
        <f t="shared" si="31"/>
        <v>20421</v>
      </c>
      <c r="F34" s="9">
        <f t="shared" si="31"/>
        <v>24084</v>
      </c>
      <c r="G34" s="9">
        <f>G30-G33</f>
        <v>32031</v>
      </c>
      <c r="H34" s="9">
        <f>H30-H33</f>
        <v>21821</v>
      </c>
      <c r="I34" s="9">
        <f>I30-I33</f>
        <v>20227</v>
      </c>
      <c r="J34" s="9">
        <f>J30-J33</f>
        <v>24313</v>
      </c>
      <c r="K34" s="9">
        <f t="shared" ref="K34:N34" si="32">+K30-K33</f>
        <v>35217</v>
      </c>
      <c r="L34" s="9">
        <f t="shared" si="32"/>
        <v>22370</v>
      </c>
      <c r="M34" s="9">
        <f>+M30-M33</f>
        <v>22680</v>
      </c>
      <c r="N34" s="9">
        <f t="shared" si="32"/>
        <v>24689</v>
      </c>
      <c r="O34" s="9">
        <f>+O30-O33</f>
        <v>44328</v>
      </c>
      <c r="P34" s="9">
        <f>+P30-P33</f>
        <v>38079</v>
      </c>
      <c r="Q34" s="9">
        <f>+Q30-Q33</f>
        <v>35255</v>
      </c>
      <c r="R34" s="9">
        <f t="shared" ref="R34:S34" si="33">+R30-R33</f>
        <v>35174</v>
      </c>
      <c r="S34" s="9">
        <f t="shared" si="33"/>
        <v>54243</v>
      </c>
      <c r="T34" s="9">
        <f>+T30-T33</f>
        <v>42559</v>
      </c>
      <c r="U34" s="9">
        <f t="shared" ref="U34:V34" si="34">+U30-U33</f>
        <v>35885</v>
      </c>
      <c r="V34" s="9">
        <f t="shared" si="34"/>
        <v>38095</v>
      </c>
      <c r="W34" s="9">
        <f>+W30-W33</f>
        <v>50332</v>
      </c>
      <c r="X34" s="9">
        <f>+X30-X33</f>
        <v>41976</v>
      </c>
      <c r="Y34" s="30">
        <f>Y30-Y33</f>
        <v>36413</v>
      </c>
      <c r="Z34" s="26">
        <f>Z30-Z33</f>
        <v>40651.997828707521</v>
      </c>
      <c r="AA34" s="26">
        <f>AA30-AA33</f>
        <v>49138.09734022971</v>
      </c>
      <c r="AC34" s="9"/>
      <c r="AD34" s="9"/>
      <c r="AE34" s="9">
        <f t="shared" ref="AE34:AF34" si="35">+AE30-AE33</f>
        <v>2166</v>
      </c>
      <c r="AF34" s="26">
        <f t="shared" si="35"/>
        <v>1235</v>
      </c>
      <c r="AG34" s="26">
        <f>+AG30-AG33</f>
        <v>1603</v>
      </c>
      <c r="AH34" s="26">
        <f t="shared" ref="AH34:AX34" si="36">+AH30-AH33</f>
        <v>1708</v>
      </c>
      <c r="AI34" s="26">
        <f t="shared" si="36"/>
        <v>2259</v>
      </c>
      <c r="AJ34" s="26">
        <f t="shared" si="36"/>
        <v>4043</v>
      </c>
      <c r="AK34" s="26">
        <f t="shared" si="36"/>
        <v>5598</v>
      </c>
      <c r="AL34" s="26">
        <f t="shared" si="36"/>
        <v>8154</v>
      </c>
      <c r="AM34" s="26">
        <f t="shared" si="36"/>
        <v>13197</v>
      </c>
      <c r="AN34" s="26">
        <f t="shared" si="36"/>
        <v>17222</v>
      </c>
      <c r="AO34" s="26">
        <f t="shared" si="36"/>
        <v>25684</v>
      </c>
      <c r="AP34" s="26">
        <f t="shared" si="36"/>
        <v>43818</v>
      </c>
      <c r="AQ34" s="26">
        <f t="shared" si="36"/>
        <v>68662</v>
      </c>
      <c r="AR34" s="26">
        <f t="shared" si="36"/>
        <v>64304</v>
      </c>
      <c r="AS34" s="26">
        <f t="shared" si="36"/>
        <v>70537</v>
      </c>
      <c r="AT34" s="26">
        <f t="shared" si="36"/>
        <v>93626</v>
      </c>
      <c r="AU34" s="26">
        <f t="shared" si="36"/>
        <v>84263</v>
      </c>
      <c r="AV34" s="26">
        <f t="shared" si="36"/>
        <v>88186</v>
      </c>
      <c r="AW34" s="26">
        <f>+AW30-AW33</f>
        <v>101839</v>
      </c>
      <c r="AX34" s="26">
        <f t="shared" si="36"/>
        <v>98392</v>
      </c>
      <c r="AY34" s="26">
        <f>+AY30-AY33</f>
        <v>104956</v>
      </c>
      <c r="AZ34" s="26">
        <f>+AZ30-AZ33</f>
        <v>152836</v>
      </c>
      <c r="BA34" s="30">
        <f>+BA30-BA33</f>
        <v>170782</v>
      </c>
      <c r="BB34" s="43">
        <f t="shared" si="1"/>
        <v>169372.99782870751</v>
      </c>
      <c r="BC34" s="26">
        <f>BC30-BC33</f>
        <v>172168.2580203359</v>
      </c>
      <c r="BD34" s="26">
        <f>BD30-BD33</f>
        <v>184616.11950978031</v>
      </c>
      <c r="BE34" s="26">
        <f t="shared" ref="BE34:BS34" si="37">BE30-BE33</f>
        <v>198135.1953029547</v>
      </c>
      <c r="BF34" s="26">
        <f t="shared" si="37"/>
        <v>212829.01538375794</v>
      </c>
      <c r="BG34" s="26">
        <f t="shared" si="37"/>
        <v>228811.759998205</v>
      </c>
      <c r="BH34" s="26">
        <f t="shared" si="37"/>
        <v>246209.38891168573</v>
      </c>
      <c r="BI34" s="26">
        <f t="shared" si="37"/>
        <v>265160.89214425744</v>
      </c>
      <c r="BJ34" s="26">
        <f t="shared" si="37"/>
        <v>285819.67534691142</v>
      </c>
      <c r="BK34" s="26">
        <f t="shared" si="37"/>
        <v>308355.09441379039</v>
      </c>
      <c r="BL34" s="26">
        <f t="shared" si="37"/>
        <v>332954.15551354969</v>
      </c>
      <c r="BM34" s="26">
        <f t="shared" si="37"/>
        <v>359823.39848452748</v>
      </c>
      <c r="BN34" s="26">
        <f t="shared" si="37"/>
        <v>389190.98349204002</v>
      </c>
      <c r="BO34" s="26">
        <f t="shared" si="37"/>
        <v>421309.00301294273</v>
      </c>
      <c r="BP34" s="26">
        <f>BP30-BP33</f>
        <v>456456.04361592513</v>
      </c>
      <c r="BQ34" s="26">
        <f t="shared" si="37"/>
        <v>494940.02467164432</v>
      </c>
      <c r="BR34" s="26">
        <f t="shared" si="37"/>
        <v>537101.3440834675</v>
      </c>
      <c r="BS34" s="26">
        <f t="shared" si="37"/>
        <v>583316.36440907849</v>
      </c>
    </row>
    <row r="35" spans="1:162" x14ac:dyDescent="0.35">
      <c r="B35" s="9" t="s">
        <v>55</v>
      </c>
      <c r="C35" s="9">
        <v>3407</v>
      </c>
      <c r="D35" s="9">
        <v>3378</v>
      </c>
      <c r="E35" s="9">
        <v>3701</v>
      </c>
      <c r="F35" s="9">
        <f>14236-E35-D35-C35</f>
        <v>3750</v>
      </c>
      <c r="G35" s="9">
        <v>3902</v>
      </c>
      <c r="H35" s="9">
        <v>3948</v>
      </c>
      <c r="I35" s="9">
        <v>4257</v>
      </c>
      <c r="J35" s="9">
        <f>16217-I35-H35-G35</f>
        <v>4110</v>
      </c>
      <c r="K35" s="9">
        <v>4451</v>
      </c>
      <c r="L35" s="9">
        <v>4565</v>
      </c>
      <c r="M35" s="9">
        <v>4758</v>
      </c>
      <c r="N35" s="9">
        <v>4978</v>
      </c>
      <c r="O35" s="9">
        <v>5163</v>
      </c>
      <c r="P35" s="9">
        <v>5262</v>
      </c>
      <c r="Q35" s="9">
        <v>5717</v>
      </c>
      <c r="R35" s="9">
        <v>5772</v>
      </c>
      <c r="S35" s="9">
        <v>6306</v>
      </c>
      <c r="T35" s="9">
        <v>6387</v>
      </c>
      <c r="U35" s="9">
        <v>6797</v>
      </c>
      <c r="V35" s="9">
        <v>6761</v>
      </c>
      <c r="W35" s="9">
        <v>7709</v>
      </c>
      <c r="X35" s="9">
        <v>7457</v>
      </c>
      <c r="Y35" s="30">
        <v>7442</v>
      </c>
      <c r="Z35" s="26">
        <f>V35*(1+Z53)</f>
        <v>7334.3727227289983</v>
      </c>
      <c r="AA35" s="26">
        <f>W35*(1+AA53)</f>
        <v>8386.5719038190164</v>
      </c>
      <c r="AC35" s="9"/>
      <c r="AD35" s="9"/>
      <c r="AE35" s="9">
        <v>380</v>
      </c>
      <c r="AF35" s="26">
        <v>430</v>
      </c>
      <c r="AG35" s="26">
        <v>446</v>
      </c>
      <c r="AH35" s="26">
        <v>471</v>
      </c>
      <c r="AI35" s="26">
        <v>489</v>
      </c>
      <c r="AJ35" s="26">
        <v>534</v>
      </c>
      <c r="AK35" s="26">
        <v>712</v>
      </c>
      <c r="AL35" s="26">
        <v>782</v>
      </c>
      <c r="AM35" s="26">
        <v>1109</v>
      </c>
      <c r="AN35" s="26">
        <v>1333</v>
      </c>
      <c r="AO35" s="26">
        <v>1782</v>
      </c>
      <c r="AP35" s="26">
        <v>2429</v>
      </c>
      <c r="AQ35" s="26">
        <v>3381</v>
      </c>
      <c r="AR35" s="26">
        <v>4475</v>
      </c>
      <c r="AS35" s="26">
        <v>6041</v>
      </c>
      <c r="AT35" s="26">
        <v>8067</v>
      </c>
      <c r="AU35" s="26">
        <v>10045</v>
      </c>
      <c r="AV35" s="26">
        <v>11581</v>
      </c>
      <c r="AW35" s="25">
        <v>14236</v>
      </c>
      <c r="AX35" s="25">
        <v>16217</v>
      </c>
      <c r="AY35" s="25">
        <f>SUM(K35:N35)</f>
        <v>18752</v>
      </c>
      <c r="AZ35" s="25">
        <f>SUM(O35:R35)</f>
        <v>21914</v>
      </c>
      <c r="BA35" s="34">
        <f>SUM(S35:V35)</f>
        <v>26251</v>
      </c>
      <c r="BB35" s="43">
        <f t="shared" si="1"/>
        <v>29942.372722729</v>
      </c>
      <c r="BC35" s="26">
        <f t="shared" ref="BC35:BS35" si="38">BC30*IF($CC$17=1,($BZ$17),IF($CC$17=2,($CA$17),IF($CC$17=3,($CB$17),0)))</f>
        <v>28780.461057505596</v>
      </c>
      <c r="BD35" s="26">
        <f>BD30*IF($CC$17=1,($BZ$17),IF($CC$17=2,($CA$17),IF($CC$17=3,($CB$17),0)))</f>
        <v>30610.002119432749</v>
      </c>
      <c r="BE35" s="26">
        <f t="shared" si="38"/>
        <v>32579.429368149464</v>
      </c>
      <c r="BF35" s="26">
        <f t="shared" si="38"/>
        <v>34701.18542753849</v>
      </c>
      <c r="BG35" s="26">
        <f t="shared" si="38"/>
        <v>36988.929661498187</v>
      </c>
      <c r="BH35" s="26">
        <f t="shared" si="38"/>
        <v>39457.663312373203</v>
      </c>
      <c r="BI35" s="26">
        <f t="shared" si="38"/>
        <v>42123.867840440245</v>
      </c>
      <c r="BJ35" s="26">
        <f t="shared" si="38"/>
        <v>45005.65787546221</v>
      </c>
      <c r="BK35" s="26">
        <f t="shared" si="38"/>
        <v>48122.950343263961</v>
      </c>
      <c r="BL35" s="26">
        <f t="shared" si="38"/>
        <v>51497.651498661093</v>
      </c>
      <c r="BM35" s="26">
        <f t="shared" si="38"/>
        <v>55153.86378267299</v>
      </c>
      <c r="BN35" s="26">
        <f t="shared" si="38"/>
        <v>59118.114628752352</v>
      </c>
      <c r="BO35" s="26">
        <f t="shared" si="38"/>
        <v>63419.609571957706</v>
      </c>
      <c r="BP35" s="26">
        <f t="shared" si="38"/>
        <v>68090.51226901749</v>
      </c>
      <c r="BQ35" s="26">
        <f t="shared" si="38"/>
        <v>73166.254318779174</v>
      </c>
      <c r="BR35" s="26">
        <f t="shared" si="38"/>
        <v>78685.878084597687</v>
      </c>
      <c r="BS35" s="26">
        <f t="shared" si="38"/>
        <v>84692.416066109537</v>
      </c>
    </row>
    <row r="36" spans="1:162" x14ac:dyDescent="0.35">
      <c r="B36" s="9" t="s">
        <v>56</v>
      </c>
      <c r="C36" s="9">
        <v>4231</v>
      </c>
      <c r="D36" s="9">
        <v>4150</v>
      </c>
      <c r="E36" s="9">
        <v>4108</v>
      </c>
      <c r="F36" s="9">
        <f>16705-E36-D36-C36</f>
        <v>4216</v>
      </c>
      <c r="G36" s="9">
        <v>4783</v>
      </c>
      <c r="H36" s="9">
        <v>4458</v>
      </c>
      <c r="I36" s="9">
        <v>4426</v>
      </c>
      <c r="J36" s="9">
        <f>18245-I36-H36-G36</f>
        <v>4578</v>
      </c>
      <c r="K36" s="9">
        <v>5197</v>
      </c>
      <c r="L36" s="9">
        <v>4952</v>
      </c>
      <c r="M36" s="9">
        <v>4831</v>
      </c>
      <c r="N36" s="9">
        <v>4936</v>
      </c>
      <c r="O36" s="9">
        <v>5631</v>
      </c>
      <c r="P36" s="9">
        <v>5314</v>
      </c>
      <c r="Q36" s="9">
        <v>5412</v>
      </c>
      <c r="R36" s="9">
        <v>5616</v>
      </c>
      <c r="S36" s="9">
        <v>6449</v>
      </c>
      <c r="T36" s="9">
        <v>6193</v>
      </c>
      <c r="U36" s="9">
        <v>6012</v>
      </c>
      <c r="V36" s="9">
        <v>6440</v>
      </c>
      <c r="W36" s="9">
        <v>6607</v>
      </c>
      <c r="X36" s="9">
        <v>6201</v>
      </c>
      <c r="Y36" s="30">
        <v>5973</v>
      </c>
      <c r="Z36" s="26">
        <f>Z30*IF($CC$16=1,$BZ$16,IF($CC$16=2,$CA$16,IF($CC$16=3,$CB$16,0)))</f>
        <v>6514.3770872231189</v>
      </c>
      <c r="AA36" s="26">
        <f>AA30*IF($CC$16=1,$BZ$16,IF($CC$16=2,$CA$16,IF($CC$16=3,$CB$16,0)))</f>
        <v>8113.9968457850082</v>
      </c>
      <c r="AC36" s="9"/>
      <c r="AD36" s="9"/>
      <c r="AE36" s="9">
        <v>1166</v>
      </c>
      <c r="AF36" s="26">
        <v>1138</v>
      </c>
      <c r="AG36" s="26">
        <v>1109</v>
      </c>
      <c r="AH36" s="26">
        <v>1212</v>
      </c>
      <c r="AI36" s="26">
        <v>1421</v>
      </c>
      <c r="AJ36" s="26">
        <v>1859</v>
      </c>
      <c r="AK36" s="26">
        <v>2433</v>
      </c>
      <c r="AL36" s="26">
        <v>2963</v>
      </c>
      <c r="AM36" s="26">
        <v>3761</v>
      </c>
      <c r="AN36" s="26">
        <v>4149</v>
      </c>
      <c r="AO36" s="26">
        <v>5517</v>
      </c>
      <c r="AP36" s="26">
        <v>7599</v>
      </c>
      <c r="AQ36" s="26">
        <v>10040</v>
      </c>
      <c r="AR36" s="26">
        <v>10830</v>
      </c>
      <c r="AS36" s="26">
        <v>11993</v>
      </c>
      <c r="AT36" s="26">
        <v>14329</v>
      </c>
      <c r="AU36" s="26">
        <v>14194</v>
      </c>
      <c r="AV36" s="26">
        <v>15261</v>
      </c>
      <c r="AW36" s="25">
        <v>16705</v>
      </c>
      <c r="AX36" s="25">
        <v>18245</v>
      </c>
      <c r="AY36" s="25">
        <f>SUM(K36:N36)</f>
        <v>19916</v>
      </c>
      <c r="AZ36" s="25">
        <f>SUM(O36:R36)</f>
        <v>21973</v>
      </c>
      <c r="BA36" s="34">
        <f>SUM(S36:V36)</f>
        <v>25094</v>
      </c>
      <c r="BB36" s="43">
        <f>SUM(W36:Z36)</f>
        <v>25295.377087223118</v>
      </c>
      <c r="BC36" s="26">
        <f t="shared" ref="BC36:BS36" si="39">BC30*IF($CC$16=1,($BZ$16),IF($CC$16=2,($CA$16),IF($CC$16=3,($CB$16),0)))</f>
        <v>28780.461057505596</v>
      </c>
      <c r="BD36" s="26">
        <f t="shared" si="39"/>
        <v>30610.002119432749</v>
      </c>
      <c r="BE36" s="26">
        <f t="shared" si="39"/>
        <v>32579.429368149464</v>
      </c>
      <c r="BF36" s="26">
        <f t="shared" si="39"/>
        <v>34701.18542753849</v>
      </c>
      <c r="BG36" s="26">
        <f t="shared" si="39"/>
        <v>36988.929661498187</v>
      </c>
      <c r="BH36" s="26">
        <f t="shared" si="39"/>
        <v>39457.663312373203</v>
      </c>
      <c r="BI36" s="26">
        <f t="shared" si="39"/>
        <v>42123.867840440245</v>
      </c>
      <c r="BJ36" s="26">
        <f t="shared" si="39"/>
        <v>45005.65787546221</v>
      </c>
      <c r="BK36" s="26">
        <f t="shared" si="39"/>
        <v>48122.950343263961</v>
      </c>
      <c r="BL36" s="26">
        <f t="shared" si="39"/>
        <v>51497.651498661093</v>
      </c>
      <c r="BM36" s="26">
        <f t="shared" si="39"/>
        <v>55153.86378267299</v>
      </c>
      <c r="BN36" s="26">
        <f t="shared" si="39"/>
        <v>59118.114628752352</v>
      </c>
      <c r="BO36" s="26">
        <f t="shared" si="39"/>
        <v>63419.609571957706</v>
      </c>
      <c r="BP36" s="26">
        <f t="shared" si="39"/>
        <v>68090.51226901749</v>
      </c>
      <c r="BQ36" s="26">
        <f t="shared" si="39"/>
        <v>73166.254318779174</v>
      </c>
      <c r="BR36" s="26">
        <f t="shared" si="39"/>
        <v>78685.878084597687</v>
      </c>
      <c r="BS36" s="26">
        <f t="shared" si="39"/>
        <v>84692.416066109537</v>
      </c>
    </row>
    <row r="37" spans="1:162" x14ac:dyDescent="0.35">
      <c r="B37" s="9" t="s">
        <v>57</v>
      </c>
      <c r="C37" s="9">
        <f t="shared" ref="C37:F37" si="40">+C35+C36</f>
        <v>7638</v>
      </c>
      <c r="D37" s="9">
        <f t="shared" si="40"/>
        <v>7528</v>
      </c>
      <c r="E37" s="9">
        <f t="shared" si="40"/>
        <v>7809</v>
      </c>
      <c r="F37" s="9">
        <f t="shared" si="40"/>
        <v>7966</v>
      </c>
      <c r="G37" s="9">
        <f>SUM(G35:G36)</f>
        <v>8685</v>
      </c>
      <c r="H37" s="9">
        <f>SUM(H35:H36)</f>
        <v>8406</v>
      </c>
      <c r="I37" s="9">
        <f>SUM(I35:I36)</f>
        <v>8683</v>
      </c>
      <c r="J37" s="9">
        <f>SUM(J35:J36)</f>
        <v>8688</v>
      </c>
      <c r="K37" s="9">
        <f t="shared" ref="K37:N37" si="41">+K35+K36</f>
        <v>9648</v>
      </c>
      <c r="L37" s="9">
        <f t="shared" si="41"/>
        <v>9517</v>
      </c>
      <c r="M37" s="9">
        <f t="shared" si="41"/>
        <v>9589</v>
      </c>
      <c r="N37" s="9">
        <f t="shared" si="41"/>
        <v>9914</v>
      </c>
      <c r="O37" s="9">
        <f>+O35+O36</f>
        <v>10794</v>
      </c>
      <c r="P37" s="9">
        <f>+P35+P36</f>
        <v>10576</v>
      </c>
      <c r="Q37" s="9">
        <f>+Q35+Q36</f>
        <v>11129</v>
      </c>
      <c r="R37" s="9">
        <f t="shared" ref="R37:S37" si="42">+R35+R36</f>
        <v>11388</v>
      </c>
      <c r="S37" s="9">
        <f t="shared" si="42"/>
        <v>12755</v>
      </c>
      <c r="T37" s="9">
        <f>+T35+T36</f>
        <v>12580</v>
      </c>
      <c r="U37" s="9">
        <f t="shared" ref="U37:W37" si="43">+U35+U36</f>
        <v>12809</v>
      </c>
      <c r="V37" s="9">
        <f t="shared" si="43"/>
        <v>13201</v>
      </c>
      <c r="W37" s="9">
        <f t="shared" si="43"/>
        <v>14316</v>
      </c>
      <c r="X37" s="9">
        <f>+X35+X36</f>
        <v>13658</v>
      </c>
      <c r="Y37" s="30">
        <f>SUM(Y35:Y36)</f>
        <v>13415</v>
      </c>
      <c r="Z37" s="26">
        <f>SUM(Z35:Z36)</f>
        <v>13848.749809952118</v>
      </c>
      <c r="AA37" s="26">
        <f>SUM(AA35:AA36)</f>
        <v>16500.568749604026</v>
      </c>
      <c r="AC37" s="9"/>
      <c r="AD37" s="9"/>
      <c r="AE37" s="9">
        <f t="shared" ref="AE37:AX37" si="44">+AE35+AE36</f>
        <v>1546</v>
      </c>
      <c r="AF37" s="26">
        <f t="shared" si="44"/>
        <v>1568</v>
      </c>
      <c r="AG37" s="26">
        <f t="shared" si="44"/>
        <v>1555</v>
      </c>
      <c r="AH37" s="26">
        <f t="shared" si="44"/>
        <v>1683</v>
      </c>
      <c r="AI37" s="26">
        <f t="shared" si="44"/>
        <v>1910</v>
      </c>
      <c r="AJ37" s="26">
        <f t="shared" si="44"/>
        <v>2393</v>
      </c>
      <c r="AK37" s="26">
        <f t="shared" si="44"/>
        <v>3145</v>
      </c>
      <c r="AL37" s="26">
        <f t="shared" si="44"/>
        <v>3745</v>
      </c>
      <c r="AM37" s="26">
        <f t="shared" si="44"/>
        <v>4870</v>
      </c>
      <c r="AN37" s="26">
        <f t="shared" si="44"/>
        <v>5482</v>
      </c>
      <c r="AO37" s="26">
        <f t="shared" si="44"/>
        <v>7299</v>
      </c>
      <c r="AP37" s="26">
        <f t="shared" si="44"/>
        <v>10028</v>
      </c>
      <c r="AQ37" s="26">
        <f t="shared" si="44"/>
        <v>13421</v>
      </c>
      <c r="AR37" s="26">
        <f t="shared" si="44"/>
        <v>15305</v>
      </c>
      <c r="AS37" s="26">
        <f t="shared" si="44"/>
        <v>18034</v>
      </c>
      <c r="AT37" s="26">
        <f t="shared" si="44"/>
        <v>22396</v>
      </c>
      <c r="AU37" s="26">
        <f t="shared" si="44"/>
        <v>24239</v>
      </c>
      <c r="AV37" s="26">
        <f t="shared" si="44"/>
        <v>26842</v>
      </c>
      <c r="AW37" s="26">
        <f t="shared" si="44"/>
        <v>30941</v>
      </c>
      <c r="AX37" s="26">
        <f t="shared" si="44"/>
        <v>34462</v>
      </c>
      <c r="AY37" s="26">
        <f>+AY35+AY36</f>
        <v>38668</v>
      </c>
      <c r="AZ37" s="26">
        <f>+AZ35+AZ36</f>
        <v>43887</v>
      </c>
      <c r="BA37" s="30">
        <f>+BA35+BA36</f>
        <v>51345</v>
      </c>
      <c r="BB37" s="43">
        <f t="shared" si="1"/>
        <v>55237.749809952118</v>
      </c>
      <c r="BC37" s="26">
        <f>SUM(BC35:BC36)</f>
        <v>57560.922115011192</v>
      </c>
      <c r="BD37" s="26">
        <f t="shared" ref="BD37:BS37" si="45">SUM(BD35:BD36)</f>
        <v>61220.004238865498</v>
      </c>
      <c r="BE37" s="26">
        <f t="shared" si="45"/>
        <v>65158.858736298927</v>
      </c>
      <c r="BF37" s="26">
        <f t="shared" si="45"/>
        <v>69402.370855076981</v>
      </c>
      <c r="BG37" s="26">
        <f t="shared" si="45"/>
        <v>73977.859322996374</v>
      </c>
      <c r="BH37" s="26">
        <f t="shared" si="45"/>
        <v>78915.326624746405</v>
      </c>
      <c r="BI37" s="26">
        <f t="shared" si="45"/>
        <v>84247.735680880491</v>
      </c>
      <c r="BJ37" s="26">
        <f t="shared" si="45"/>
        <v>90011.315750924419</v>
      </c>
      <c r="BK37" s="26">
        <f t="shared" si="45"/>
        <v>96245.900686527923</v>
      </c>
      <c r="BL37" s="26">
        <f t="shared" si="45"/>
        <v>102995.30299732219</v>
      </c>
      <c r="BM37" s="26">
        <f t="shared" si="45"/>
        <v>110307.72756534598</v>
      </c>
      <c r="BN37" s="26">
        <f t="shared" si="45"/>
        <v>118236.2292575047</v>
      </c>
      <c r="BO37" s="26">
        <f t="shared" si="45"/>
        <v>126839.21914391541</v>
      </c>
      <c r="BP37" s="26">
        <f t="shared" si="45"/>
        <v>136181.02453803498</v>
      </c>
      <c r="BQ37" s="26">
        <f t="shared" si="45"/>
        <v>146332.50863755835</v>
      </c>
      <c r="BR37" s="26">
        <f t="shared" si="45"/>
        <v>157371.75616919537</v>
      </c>
      <c r="BS37" s="26">
        <f t="shared" si="45"/>
        <v>169384.83213221907</v>
      </c>
    </row>
    <row r="38" spans="1:162" x14ac:dyDescent="0.35">
      <c r="B38" s="9" t="s">
        <v>58</v>
      </c>
      <c r="C38" s="9">
        <f t="shared" ref="C38:E38" si="46">+C34-C37</f>
        <v>26274</v>
      </c>
      <c r="D38" s="9">
        <f t="shared" si="46"/>
        <v>15894</v>
      </c>
      <c r="E38" s="9">
        <f t="shared" si="46"/>
        <v>12612</v>
      </c>
      <c r="F38" s="9">
        <f>+F34-F37</f>
        <v>16118</v>
      </c>
      <c r="G38" s="9">
        <f>G34-G37</f>
        <v>23346</v>
      </c>
      <c r="H38" s="9">
        <f>H34-H37</f>
        <v>13415</v>
      </c>
      <c r="I38" s="9">
        <f>I34-I37</f>
        <v>11544</v>
      </c>
      <c r="J38" s="9">
        <f>J34-J37</f>
        <v>15625</v>
      </c>
      <c r="K38" s="9">
        <f t="shared" ref="K38:N38" si="47">+K34-K37</f>
        <v>25569</v>
      </c>
      <c r="L38" s="9">
        <f t="shared" si="47"/>
        <v>12853</v>
      </c>
      <c r="M38" s="9">
        <f t="shared" si="47"/>
        <v>13091</v>
      </c>
      <c r="N38" s="9">
        <f t="shared" si="47"/>
        <v>14775</v>
      </c>
      <c r="O38" s="9">
        <f>+O34-O37</f>
        <v>33534</v>
      </c>
      <c r="P38" s="9">
        <f>+P34-P37</f>
        <v>27503</v>
      </c>
      <c r="Q38" s="9">
        <f>+Q34-Q37</f>
        <v>24126</v>
      </c>
      <c r="R38" s="9">
        <f t="shared" ref="R38:S38" si="48">+R34-R37</f>
        <v>23786</v>
      </c>
      <c r="S38" s="9">
        <f t="shared" si="48"/>
        <v>41488</v>
      </c>
      <c r="T38" s="9">
        <f>+T34-T37</f>
        <v>29979</v>
      </c>
      <c r="U38" s="9">
        <f t="shared" ref="U38:X38" si="49">+U34-U37</f>
        <v>23076</v>
      </c>
      <c r="V38" s="9">
        <f t="shared" si="49"/>
        <v>24894</v>
      </c>
      <c r="W38" s="9">
        <f t="shared" si="49"/>
        <v>36016</v>
      </c>
      <c r="X38" s="9">
        <f t="shared" si="49"/>
        <v>28318</v>
      </c>
      <c r="Y38" s="30">
        <f>Y34-Y37</f>
        <v>22998</v>
      </c>
      <c r="Z38" s="26">
        <f>Z34-Z37</f>
        <v>26803.248018755403</v>
      </c>
      <c r="AA38" s="26">
        <f>AA34-AA37</f>
        <v>32637.528590625683</v>
      </c>
      <c r="AB38" s="9"/>
      <c r="AC38" s="9"/>
      <c r="AD38" s="9"/>
      <c r="AE38" s="9">
        <f t="shared" ref="AE38:AX38" si="50">+AE34-AE37</f>
        <v>620</v>
      </c>
      <c r="AF38" s="26">
        <f t="shared" si="50"/>
        <v>-333</v>
      </c>
      <c r="AG38" s="26">
        <f t="shared" si="50"/>
        <v>48</v>
      </c>
      <c r="AH38" s="26">
        <f t="shared" si="50"/>
        <v>25</v>
      </c>
      <c r="AI38" s="26">
        <f t="shared" si="50"/>
        <v>349</v>
      </c>
      <c r="AJ38" s="26">
        <f t="shared" si="50"/>
        <v>1650</v>
      </c>
      <c r="AK38" s="26">
        <f t="shared" si="50"/>
        <v>2453</v>
      </c>
      <c r="AL38" s="26">
        <f t="shared" si="50"/>
        <v>4409</v>
      </c>
      <c r="AM38" s="26">
        <f t="shared" si="50"/>
        <v>8327</v>
      </c>
      <c r="AN38" s="26">
        <f t="shared" si="50"/>
        <v>11740</v>
      </c>
      <c r="AO38" s="26">
        <f t="shared" si="50"/>
        <v>18385</v>
      </c>
      <c r="AP38" s="26">
        <f t="shared" si="50"/>
        <v>33790</v>
      </c>
      <c r="AQ38" s="26">
        <f t="shared" si="50"/>
        <v>55241</v>
      </c>
      <c r="AR38" s="26">
        <f t="shared" si="50"/>
        <v>48999</v>
      </c>
      <c r="AS38" s="26">
        <f t="shared" si="50"/>
        <v>52503</v>
      </c>
      <c r="AT38" s="26">
        <f t="shared" si="50"/>
        <v>71230</v>
      </c>
      <c r="AU38" s="26">
        <f t="shared" si="50"/>
        <v>60024</v>
      </c>
      <c r="AV38" s="26">
        <f t="shared" si="50"/>
        <v>61344</v>
      </c>
      <c r="AW38" s="26">
        <f t="shared" si="50"/>
        <v>70898</v>
      </c>
      <c r="AX38" s="26">
        <f t="shared" si="50"/>
        <v>63930</v>
      </c>
      <c r="AY38" s="26">
        <f>+AY34-AY37</f>
        <v>66288</v>
      </c>
      <c r="AZ38" s="26">
        <f>+AZ34-AZ37</f>
        <v>108949</v>
      </c>
      <c r="BA38" s="30">
        <f>+BA34-BA37</f>
        <v>119437</v>
      </c>
      <c r="BB38" s="43">
        <f t="shared" si="1"/>
        <v>114135.2480187554</v>
      </c>
      <c r="BC38" s="26">
        <f>BC34-BC37</f>
        <v>114607.3359053247</v>
      </c>
      <c r="BD38" s="26">
        <f t="shared" ref="BD38:BS38" si="51">BD34-BD37</f>
        <v>123396.11527091482</v>
      </c>
      <c r="BE38" s="26">
        <f t="shared" si="51"/>
        <v>132976.33656665578</v>
      </c>
      <c r="BF38" s="26">
        <f t="shared" si="51"/>
        <v>143426.64452868095</v>
      </c>
      <c r="BG38" s="26">
        <f t="shared" si="51"/>
        <v>154833.90067520863</v>
      </c>
      <c r="BH38" s="26">
        <f t="shared" si="51"/>
        <v>167294.06228693933</v>
      </c>
      <c r="BI38" s="26">
        <f t="shared" si="51"/>
        <v>180913.15646337694</v>
      </c>
      <c r="BJ38" s="26">
        <f t="shared" si="51"/>
        <v>195808.35959598701</v>
      </c>
      <c r="BK38" s="26">
        <f t="shared" si="51"/>
        <v>212109.19372726246</v>
      </c>
      <c r="BL38" s="26">
        <f t="shared" si="51"/>
        <v>229958.85251622752</v>
      </c>
      <c r="BM38" s="26">
        <f t="shared" si="51"/>
        <v>249515.67091918149</v>
      </c>
      <c r="BN38" s="26">
        <f t="shared" si="51"/>
        <v>270954.75423453533</v>
      </c>
      <c r="BO38" s="26">
        <f t="shared" si="51"/>
        <v>294469.78386902733</v>
      </c>
      <c r="BP38" s="26">
        <f>BP34-BP37</f>
        <v>320275.01907789015</v>
      </c>
      <c r="BQ38" s="26">
        <f t="shared" si="51"/>
        <v>348607.516034086</v>
      </c>
      <c r="BR38" s="26">
        <f t="shared" si="51"/>
        <v>379729.5879142721</v>
      </c>
      <c r="BS38" s="26">
        <f t="shared" si="51"/>
        <v>413931.53227685939</v>
      </c>
    </row>
    <row r="39" spans="1:162" x14ac:dyDescent="0.35">
      <c r="B39" s="9" t="s">
        <v>59</v>
      </c>
      <c r="C39" s="9">
        <v>756</v>
      </c>
      <c r="D39" s="9">
        <v>274</v>
      </c>
      <c r="E39" s="9">
        <v>672</v>
      </c>
      <c r="F39" s="9">
        <f>2005-E39-D39-C39</f>
        <v>303</v>
      </c>
      <c r="G39" s="9">
        <v>560</v>
      </c>
      <c r="H39" s="9">
        <v>378</v>
      </c>
      <c r="I39" s="9">
        <v>367</v>
      </c>
      <c r="J39" s="9">
        <f>1807-I39-H39-G39</f>
        <v>502</v>
      </c>
      <c r="K39" s="9">
        <v>349</v>
      </c>
      <c r="L39" s="9">
        <v>282</v>
      </c>
      <c r="M39" s="9">
        <v>46</v>
      </c>
      <c r="N39" s="9">
        <v>126</v>
      </c>
      <c r="O39" s="9">
        <v>45</v>
      </c>
      <c r="P39" s="9">
        <v>508</v>
      </c>
      <c r="Q39" s="9">
        <v>243</v>
      </c>
      <c r="R39" s="9">
        <v>-538</v>
      </c>
      <c r="S39" s="9">
        <v>-247</v>
      </c>
      <c r="T39" s="9">
        <v>160</v>
      </c>
      <c r="U39" s="9">
        <v>-10</v>
      </c>
      <c r="V39" s="9">
        <v>-237</v>
      </c>
      <c r="W39" s="9">
        <v>-393</v>
      </c>
      <c r="X39" s="9">
        <v>64</v>
      </c>
      <c r="Y39" s="30">
        <v>-265</v>
      </c>
      <c r="Z39" s="26">
        <f>Y39</f>
        <v>-265</v>
      </c>
      <c r="AA39" s="26">
        <f>Z39</f>
        <v>-265</v>
      </c>
      <c r="AC39" s="9"/>
      <c r="AD39" s="9"/>
      <c r="AE39" s="9">
        <v>203</v>
      </c>
      <c r="AF39" s="26">
        <v>217</v>
      </c>
      <c r="AG39" s="26">
        <v>70</v>
      </c>
      <c r="AH39" s="26">
        <v>93</v>
      </c>
      <c r="AI39" s="26">
        <v>57</v>
      </c>
      <c r="AJ39" s="26">
        <v>165</v>
      </c>
      <c r="AK39" s="26">
        <v>365</v>
      </c>
      <c r="AL39" s="26">
        <v>599</v>
      </c>
      <c r="AM39" s="26">
        <v>620</v>
      </c>
      <c r="AN39" s="26">
        <v>326</v>
      </c>
      <c r="AO39" s="26">
        <v>155</v>
      </c>
      <c r="AP39" s="26">
        <v>415</v>
      </c>
      <c r="AQ39" s="26">
        <v>522</v>
      </c>
      <c r="AR39" s="26">
        <v>1156</v>
      </c>
      <c r="AS39" s="26">
        <v>980</v>
      </c>
      <c r="AT39" s="26">
        <v>1285</v>
      </c>
      <c r="AU39" s="26">
        <v>1348</v>
      </c>
      <c r="AV39" s="26">
        <v>2745</v>
      </c>
      <c r="AW39" s="25">
        <v>2005</v>
      </c>
      <c r="AX39" s="25">
        <v>1807</v>
      </c>
      <c r="AY39" s="25">
        <f>SUM(K39:N39)</f>
        <v>803</v>
      </c>
      <c r="AZ39" s="25">
        <f>SUM(O39:R39)</f>
        <v>258</v>
      </c>
      <c r="BA39" s="34">
        <f>SUM(S39:V39)</f>
        <v>-334</v>
      </c>
      <c r="BB39" s="43">
        <f t="shared" si="1"/>
        <v>-859</v>
      </c>
      <c r="BC39" s="26">
        <f>BB39</f>
        <v>-859</v>
      </c>
      <c r="BD39" s="26">
        <f t="shared" ref="BD39:BS39" si="52">BC39</f>
        <v>-859</v>
      </c>
      <c r="BE39" s="26">
        <f t="shared" si="52"/>
        <v>-859</v>
      </c>
      <c r="BF39" s="26">
        <f t="shared" si="52"/>
        <v>-859</v>
      </c>
      <c r="BG39" s="26">
        <f t="shared" si="52"/>
        <v>-859</v>
      </c>
      <c r="BH39" s="26">
        <f t="shared" si="52"/>
        <v>-859</v>
      </c>
      <c r="BI39" s="26">
        <f t="shared" si="52"/>
        <v>-859</v>
      </c>
      <c r="BJ39" s="26">
        <f t="shared" si="52"/>
        <v>-859</v>
      </c>
      <c r="BK39" s="26">
        <f t="shared" si="52"/>
        <v>-859</v>
      </c>
      <c r="BL39" s="26">
        <f t="shared" si="52"/>
        <v>-859</v>
      </c>
      <c r="BM39" s="26">
        <f t="shared" si="52"/>
        <v>-859</v>
      </c>
      <c r="BN39" s="26">
        <f t="shared" si="52"/>
        <v>-859</v>
      </c>
      <c r="BO39" s="26">
        <f t="shared" si="52"/>
        <v>-859</v>
      </c>
      <c r="BP39" s="26">
        <f t="shared" si="52"/>
        <v>-859</v>
      </c>
      <c r="BQ39" s="26">
        <f t="shared" si="52"/>
        <v>-859</v>
      </c>
      <c r="BR39" s="26">
        <f t="shared" si="52"/>
        <v>-859</v>
      </c>
      <c r="BS39" s="26">
        <f t="shared" si="52"/>
        <v>-859</v>
      </c>
    </row>
    <row r="40" spans="1:162" x14ac:dyDescent="0.35">
      <c r="B40" s="9" t="s">
        <v>60</v>
      </c>
      <c r="C40" s="9">
        <f t="shared" ref="C40:D40" si="53">+C38+C39</f>
        <v>27030</v>
      </c>
      <c r="D40" s="9">
        <f t="shared" si="53"/>
        <v>16168</v>
      </c>
      <c r="E40" s="9">
        <f>+E38+E39</f>
        <v>13284</v>
      </c>
      <c r="F40" s="9">
        <f>+F38+F39</f>
        <v>16421</v>
      </c>
      <c r="G40" s="9">
        <f>G38+G39</f>
        <v>23906</v>
      </c>
      <c r="H40" s="9">
        <f>H38-H39</f>
        <v>13037</v>
      </c>
      <c r="I40" s="9">
        <f>I38-I39</f>
        <v>11177</v>
      </c>
      <c r="J40" s="9">
        <f>J38-J39</f>
        <v>15123</v>
      </c>
      <c r="K40" s="9">
        <f t="shared" ref="K40:N40" si="54">+K38+K39</f>
        <v>25918</v>
      </c>
      <c r="L40" s="9">
        <f t="shared" si="54"/>
        <v>13135</v>
      </c>
      <c r="M40" s="9">
        <f t="shared" si="54"/>
        <v>13137</v>
      </c>
      <c r="N40" s="9">
        <f t="shared" si="54"/>
        <v>14901</v>
      </c>
      <c r="O40" s="9">
        <f>+O38+O39</f>
        <v>33579</v>
      </c>
      <c r="P40" s="9">
        <f>+P38+P39</f>
        <v>28011</v>
      </c>
      <c r="Q40" s="9">
        <f>+Q38+Q39</f>
        <v>24369</v>
      </c>
      <c r="R40" s="9">
        <f t="shared" ref="R40:S40" si="55">+R38+R39</f>
        <v>23248</v>
      </c>
      <c r="S40" s="9">
        <f t="shared" si="55"/>
        <v>41241</v>
      </c>
      <c r="T40" s="9">
        <f>+T38+T39</f>
        <v>30139</v>
      </c>
      <c r="U40" s="9">
        <f t="shared" ref="U40:W40" si="56">+U38+U39</f>
        <v>23066</v>
      </c>
      <c r="V40" s="9">
        <f t="shared" si="56"/>
        <v>24657</v>
      </c>
      <c r="W40" s="9">
        <f t="shared" si="56"/>
        <v>35623</v>
      </c>
      <c r="X40" s="9">
        <f>+X38+X39</f>
        <v>28382</v>
      </c>
      <c r="Y40" s="30">
        <f>Y38+Y39</f>
        <v>22733</v>
      </c>
      <c r="Z40" s="26">
        <f>Z38+Z39</f>
        <v>26538.248018755403</v>
      </c>
      <c r="AA40" s="26">
        <f>AA38+AA39</f>
        <v>32372.528590625683</v>
      </c>
      <c r="AC40" s="9"/>
      <c r="AD40" s="9"/>
      <c r="AE40" s="9">
        <f t="shared" ref="AE40:AX40" si="57">+AE38+AE39</f>
        <v>823</v>
      </c>
      <c r="AF40" s="26">
        <f t="shared" si="57"/>
        <v>-116</v>
      </c>
      <c r="AG40" s="26">
        <f t="shared" si="57"/>
        <v>118</v>
      </c>
      <c r="AH40" s="26">
        <f t="shared" si="57"/>
        <v>118</v>
      </c>
      <c r="AI40" s="26">
        <f t="shared" si="57"/>
        <v>406</v>
      </c>
      <c r="AJ40" s="26">
        <f t="shared" si="57"/>
        <v>1815</v>
      </c>
      <c r="AK40" s="26">
        <f t="shared" si="57"/>
        <v>2818</v>
      </c>
      <c r="AL40" s="26">
        <f t="shared" si="57"/>
        <v>5008</v>
      </c>
      <c r="AM40" s="26">
        <f t="shared" si="57"/>
        <v>8947</v>
      </c>
      <c r="AN40" s="26">
        <f t="shared" si="57"/>
        <v>12066</v>
      </c>
      <c r="AO40" s="26">
        <f t="shared" si="57"/>
        <v>18540</v>
      </c>
      <c r="AP40" s="26">
        <f t="shared" si="57"/>
        <v>34205</v>
      </c>
      <c r="AQ40" s="26">
        <f t="shared" si="57"/>
        <v>55763</v>
      </c>
      <c r="AR40" s="26">
        <f t="shared" si="57"/>
        <v>50155</v>
      </c>
      <c r="AS40" s="26">
        <f t="shared" si="57"/>
        <v>53483</v>
      </c>
      <c r="AT40" s="26">
        <f t="shared" si="57"/>
        <v>72515</v>
      </c>
      <c r="AU40" s="26">
        <f t="shared" si="57"/>
        <v>61372</v>
      </c>
      <c r="AV40" s="26">
        <f t="shared" si="57"/>
        <v>64089</v>
      </c>
      <c r="AW40" s="26">
        <f t="shared" si="57"/>
        <v>72903</v>
      </c>
      <c r="AX40" s="26">
        <f t="shared" si="57"/>
        <v>65737</v>
      </c>
      <c r="AY40" s="26">
        <f>+AY38+AY39</f>
        <v>67091</v>
      </c>
      <c r="AZ40" s="26">
        <f>+AZ38+AZ39</f>
        <v>109207</v>
      </c>
      <c r="BA40" s="30">
        <f>+BA38+BA39</f>
        <v>119103</v>
      </c>
      <c r="BB40" s="43">
        <f t="shared" si="1"/>
        <v>113276.2480187554</v>
      </c>
      <c r="BC40" s="26">
        <f>BC38+BC39</f>
        <v>113748.3359053247</v>
      </c>
      <c r="BD40" s="26">
        <f t="shared" ref="BD40:BS40" si="58">BD38+BD39</f>
        <v>122537.11527091482</v>
      </c>
      <c r="BE40" s="26">
        <f t="shared" si="58"/>
        <v>132117.33656665578</v>
      </c>
      <c r="BF40" s="26">
        <f t="shared" si="58"/>
        <v>142567.64452868095</v>
      </c>
      <c r="BG40" s="26">
        <f t="shared" si="58"/>
        <v>153974.90067520863</v>
      </c>
      <c r="BH40" s="26">
        <f t="shared" si="58"/>
        <v>166435.06228693933</v>
      </c>
      <c r="BI40" s="26">
        <f t="shared" si="58"/>
        <v>180054.15646337694</v>
      </c>
      <c r="BJ40" s="26">
        <f t="shared" si="58"/>
        <v>194949.35959598701</v>
      </c>
      <c r="BK40" s="26">
        <f t="shared" si="58"/>
        <v>211250.19372726246</v>
      </c>
      <c r="BL40" s="26">
        <f t="shared" si="58"/>
        <v>229099.85251622752</v>
      </c>
      <c r="BM40" s="26">
        <f t="shared" si="58"/>
        <v>248656.67091918149</v>
      </c>
      <c r="BN40" s="26">
        <f t="shared" si="58"/>
        <v>270095.75423453533</v>
      </c>
      <c r="BO40" s="26">
        <f t="shared" si="58"/>
        <v>293610.78386902733</v>
      </c>
      <c r="BP40" s="26">
        <f>BP38+BP39</f>
        <v>319416.01907789015</v>
      </c>
      <c r="BQ40" s="26">
        <f t="shared" si="58"/>
        <v>347748.516034086</v>
      </c>
      <c r="BR40" s="26">
        <f t="shared" si="58"/>
        <v>378870.5879142721</v>
      </c>
      <c r="BS40" s="26">
        <f t="shared" si="58"/>
        <v>413072.53227685939</v>
      </c>
    </row>
    <row r="41" spans="1:162" x14ac:dyDescent="0.35">
      <c r="B41" s="9" t="s">
        <v>61</v>
      </c>
      <c r="C41" s="9">
        <v>6965</v>
      </c>
      <c r="D41" s="9">
        <v>2346</v>
      </c>
      <c r="E41" s="9">
        <v>1765</v>
      </c>
      <c r="F41" s="9">
        <f>13372-E41-D41-C41</f>
        <v>2296</v>
      </c>
      <c r="G41" s="9">
        <v>3941</v>
      </c>
      <c r="H41" s="9">
        <v>2232</v>
      </c>
      <c r="I41" s="9">
        <v>1867</v>
      </c>
      <c r="J41" s="9">
        <f>10481-I41-H41-G41</f>
        <v>2441</v>
      </c>
      <c r="K41" s="9">
        <v>3682</v>
      </c>
      <c r="L41" s="9">
        <v>1886</v>
      </c>
      <c r="M41" s="9">
        <v>1884</v>
      </c>
      <c r="N41" s="9">
        <v>2228</v>
      </c>
      <c r="O41" s="9">
        <v>4824</v>
      </c>
      <c r="P41" s="9">
        <v>4381</v>
      </c>
      <c r="Q41" s="9">
        <v>2625</v>
      </c>
      <c r="R41" s="9">
        <v>2697</v>
      </c>
      <c r="S41" s="9">
        <v>6611</v>
      </c>
      <c r="T41" s="9">
        <v>5129</v>
      </c>
      <c r="U41" s="9">
        <v>3624</v>
      </c>
      <c r="V41" s="9">
        <v>3936</v>
      </c>
      <c r="W41" s="9">
        <v>5625</v>
      </c>
      <c r="X41" s="9">
        <v>4222</v>
      </c>
      <c r="Y41" s="30">
        <v>2852</v>
      </c>
      <c r="Z41" s="26">
        <f>Z40*Z59</f>
        <v>3638.5615112294531</v>
      </c>
      <c r="AA41" s="26">
        <f>AA40*AA59</f>
        <v>4249.9093286170464</v>
      </c>
      <c r="AC41" s="9"/>
      <c r="AD41" s="9"/>
      <c r="AE41" s="9">
        <v>306</v>
      </c>
      <c r="AF41" s="26">
        <v>0</v>
      </c>
      <c r="AG41" s="26">
        <v>22</v>
      </c>
      <c r="AH41" s="26">
        <v>24</v>
      </c>
      <c r="AI41" s="26">
        <v>107</v>
      </c>
      <c r="AJ41" s="26">
        <v>480</v>
      </c>
      <c r="AK41" s="26">
        <v>829</v>
      </c>
      <c r="AL41" s="26">
        <v>1512</v>
      </c>
      <c r="AM41" s="26">
        <v>2828</v>
      </c>
      <c r="AN41" s="26">
        <v>3831</v>
      </c>
      <c r="AO41" s="26">
        <v>4527</v>
      </c>
      <c r="AP41" s="26">
        <v>8283</v>
      </c>
      <c r="AQ41" s="26">
        <v>14030</v>
      </c>
      <c r="AR41" s="26">
        <v>13118</v>
      </c>
      <c r="AS41" s="26">
        <v>13973</v>
      </c>
      <c r="AT41" s="26">
        <v>19121</v>
      </c>
      <c r="AU41" s="26">
        <v>15685</v>
      </c>
      <c r="AV41" s="26">
        <v>15738</v>
      </c>
      <c r="AW41" s="25">
        <v>13372</v>
      </c>
      <c r="AX41" s="25">
        <v>10481</v>
      </c>
      <c r="AY41" s="25">
        <f>SUM(K41:N41)</f>
        <v>9680</v>
      </c>
      <c r="AZ41" s="25">
        <f>SUM(O41:R41)</f>
        <v>14527</v>
      </c>
      <c r="BA41" s="34">
        <f>SUM(S41:V41)</f>
        <v>19300</v>
      </c>
      <c r="BB41" s="43">
        <f>SUM(W41:Z41)</f>
        <v>16337.561511229453</v>
      </c>
      <c r="BC41" s="26">
        <f t="shared" ref="BC41:BS41" si="59">BC40*IF($CC$18=1,$BZ$18,IF($CC$18=2,$CA$18,IF($CC$18=3,$CB$18,0)))</f>
        <v>17062.250385798703</v>
      </c>
      <c r="BD41" s="26">
        <f t="shared" si="59"/>
        <v>18380.56729063722</v>
      </c>
      <c r="BE41" s="26">
        <f t="shared" si="59"/>
        <v>19817.600484998366</v>
      </c>
      <c r="BF41" s="26">
        <f t="shared" si="59"/>
        <v>21385.146679302143</v>
      </c>
      <c r="BG41" s="26">
        <f t="shared" si="59"/>
        <v>23096.235101281294</v>
      </c>
      <c r="BH41" s="26">
        <f t="shared" si="59"/>
        <v>24965.2593430409</v>
      </c>
      <c r="BI41" s="26">
        <f t="shared" si="59"/>
        <v>27008.12346950654</v>
      </c>
      <c r="BJ41" s="26">
        <f t="shared" si="59"/>
        <v>29242.403939398053</v>
      </c>
      <c r="BK41" s="26">
        <f t="shared" si="59"/>
        <v>31687.529059089367</v>
      </c>
      <c r="BL41" s="26">
        <f t="shared" si="59"/>
        <v>34364.977877434125</v>
      </c>
      <c r="BM41" s="26">
        <f t="shared" si="59"/>
        <v>37298.500637877223</v>
      </c>
      <c r="BN41" s="26">
        <f t="shared" si="59"/>
        <v>40514.363135180298</v>
      </c>
      <c r="BO41" s="26">
        <f t="shared" si="59"/>
        <v>44041.617580354097</v>
      </c>
      <c r="BP41" s="26">
        <f t="shared" si="59"/>
        <v>47912.40286168352</v>
      </c>
      <c r="BQ41" s="26">
        <f t="shared" si="59"/>
        <v>52162.277405112902</v>
      </c>
      <c r="BR41" s="26">
        <f t="shared" si="59"/>
        <v>56830.588187140813</v>
      </c>
      <c r="BS41" s="26">
        <f t="shared" si="59"/>
        <v>61960.879841528906</v>
      </c>
    </row>
    <row r="42" spans="1:162" x14ac:dyDescent="0.35">
      <c r="B42" s="9" t="s">
        <v>62</v>
      </c>
      <c r="C42" s="9">
        <f t="shared" ref="C42:F42" si="60">+C40-C41</f>
        <v>20065</v>
      </c>
      <c r="D42" s="9">
        <f t="shared" si="60"/>
        <v>13822</v>
      </c>
      <c r="E42" s="9">
        <f t="shared" si="60"/>
        <v>11519</v>
      </c>
      <c r="F42" s="9">
        <f t="shared" si="60"/>
        <v>14125</v>
      </c>
      <c r="G42" s="9">
        <f>G40-G41</f>
        <v>19965</v>
      </c>
      <c r="H42" s="9">
        <f>H40-H41</f>
        <v>10805</v>
      </c>
      <c r="I42" s="9">
        <f>I40-I41</f>
        <v>9310</v>
      </c>
      <c r="J42" s="9">
        <f>J40-J41</f>
        <v>12682</v>
      </c>
      <c r="K42" s="9">
        <f t="shared" ref="K42:N42" si="61">+K40-K41</f>
        <v>22236</v>
      </c>
      <c r="L42" s="9">
        <f t="shared" si="61"/>
        <v>11249</v>
      </c>
      <c r="M42" s="9">
        <f t="shared" si="61"/>
        <v>11253</v>
      </c>
      <c r="N42" s="9">
        <f t="shared" si="61"/>
        <v>12673</v>
      </c>
      <c r="O42" s="9">
        <f>+O40-O41</f>
        <v>28755</v>
      </c>
      <c r="P42" s="9">
        <f>+P40-P41</f>
        <v>23630</v>
      </c>
      <c r="Q42" s="9">
        <f>+Q40-Q41</f>
        <v>21744</v>
      </c>
      <c r="R42" s="9">
        <f t="shared" ref="R42:S42" si="62">+R40-R41</f>
        <v>20551</v>
      </c>
      <c r="S42" s="9">
        <f t="shared" si="62"/>
        <v>34630</v>
      </c>
      <c r="T42" s="9">
        <f>+T40-T41</f>
        <v>25010</v>
      </c>
      <c r="U42" s="9">
        <f t="shared" ref="U42:X42" si="63">+U40-U41</f>
        <v>19442</v>
      </c>
      <c r="V42" s="9">
        <f t="shared" si="63"/>
        <v>20721</v>
      </c>
      <c r="W42" s="9">
        <f t="shared" si="63"/>
        <v>29998</v>
      </c>
      <c r="X42" s="9">
        <f t="shared" si="63"/>
        <v>24160</v>
      </c>
      <c r="Y42" s="30">
        <f>Y40-Y41</f>
        <v>19881</v>
      </c>
      <c r="Z42" s="26">
        <f>Z40-Z41</f>
        <v>22899.686507525948</v>
      </c>
      <c r="AA42" s="26">
        <f>AA40-AA41</f>
        <v>28122.619262008637</v>
      </c>
      <c r="AC42" s="9"/>
      <c r="AD42" s="9"/>
      <c r="AE42" s="9">
        <f t="shared" ref="AE42:AX42" si="64">+AE40-AE41</f>
        <v>517</v>
      </c>
      <c r="AF42" s="26">
        <f t="shared" si="64"/>
        <v>-116</v>
      </c>
      <c r="AG42" s="26">
        <f t="shared" si="64"/>
        <v>96</v>
      </c>
      <c r="AH42" s="26">
        <f t="shared" si="64"/>
        <v>94</v>
      </c>
      <c r="AI42" s="26">
        <f t="shared" si="64"/>
        <v>299</v>
      </c>
      <c r="AJ42" s="26">
        <f t="shared" si="64"/>
        <v>1335</v>
      </c>
      <c r="AK42" s="26">
        <f t="shared" si="64"/>
        <v>1989</v>
      </c>
      <c r="AL42" s="26">
        <f t="shared" si="64"/>
        <v>3496</v>
      </c>
      <c r="AM42" s="26">
        <f t="shared" si="64"/>
        <v>6119</v>
      </c>
      <c r="AN42" s="26">
        <f t="shared" si="64"/>
        <v>8235</v>
      </c>
      <c r="AO42" s="26">
        <f t="shared" si="64"/>
        <v>14013</v>
      </c>
      <c r="AP42" s="26">
        <f t="shared" si="64"/>
        <v>25922</v>
      </c>
      <c r="AQ42" s="26">
        <f t="shared" si="64"/>
        <v>41733</v>
      </c>
      <c r="AR42" s="26">
        <f t="shared" si="64"/>
        <v>37037</v>
      </c>
      <c r="AS42" s="26">
        <f t="shared" si="64"/>
        <v>39510</v>
      </c>
      <c r="AT42" s="26">
        <f t="shared" si="64"/>
        <v>53394</v>
      </c>
      <c r="AU42" s="26">
        <f t="shared" si="64"/>
        <v>45687</v>
      </c>
      <c r="AV42" s="26">
        <f t="shared" si="64"/>
        <v>48351</v>
      </c>
      <c r="AW42" s="26">
        <f t="shared" si="64"/>
        <v>59531</v>
      </c>
      <c r="AX42" s="26">
        <f t="shared" si="64"/>
        <v>55256</v>
      </c>
      <c r="AY42" s="26">
        <f>+AY40-AY41</f>
        <v>57411</v>
      </c>
      <c r="AZ42" s="26">
        <f>+AZ40-AZ41</f>
        <v>94680</v>
      </c>
      <c r="BA42" s="30">
        <f>+BA40-BA41</f>
        <v>99803</v>
      </c>
      <c r="BB42" s="43">
        <f t="shared" si="1"/>
        <v>96938.686507525941</v>
      </c>
      <c r="BC42" s="26">
        <f>BC40-BC41</f>
        <v>96686.085519525994</v>
      </c>
      <c r="BD42" s="26">
        <f t="shared" ref="BD42:BS42" si="65">BD40-BD41</f>
        <v>104156.5479802776</v>
      </c>
      <c r="BE42" s="26">
        <f t="shared" si="65"/>
        <v>112299.73608165741</v>
      </c>
      <c r="BF42" s="26">
        <f t="shared" si="65"/>
        <v>121182.49784937881</v>
      </c>
      <c r="BG42" s="26">
        <f t="shared" si="65"/>
        <v>130878.66557392734</v>
      </c>
      <c r="BH42" s="26">
        <f t="shared" si="65"/>
        <v>141469.80294389842</v>
      </c>
      <c r="BI42" s="26">
        <f t="shared" si="65"/>
        <v>153046.03299387041</v>
      </c>
      <c r="BJ42" s="26">
        <f t="shared" si="65"/>
        <v>165706.95565658895</v>
      </c>
      <c r="BK42" s="26">
        <f t="shared" si="65"/>
        <v>179562.66466817309</v>
      </c>
      <c r="BL42" s="26">
        <f t="shared" si="65"/>
        <v>194734.87463879341</v>
      </c>
      <c r="BM42" s="26">
        <f t="shared" si="65"/>
        <v>211358.17028130428</v>
      </c>
      <c r="BN42" s="26">
        <f t="shared" si="65"/>
        <v>229581.39109935504</v>
      </c>
      <c r="BO42" s="26">
        <f t="shared" si="65"/>
        <v>249569.16628867324</v>
      </c>
      <c r="BP42" s="26">
        <f>BP40-BP41</f>
        <v>271503.61621620663</v>
      </c>
      <c r="BQ42" s="26">
        <f t="shared" si="65"/>
        <v>295586.23862897308</v>
      </c>
      <c r="BR42" s="26">
        <f t="shared" si="65"/>
        <v>322039.99972713127</v>
      </c>
      <c r="BS42" s="26">
        <f t="shared" si="65"/>
        <v>351111.6524353305</v>
      </c>
      <c r="BT42" s="26">
        <f t="shared" ref="BT42:CY42" si="66">BS42*(1+$BZ$23)</f>
        <v>347600.53591097717</v>
      </c>
      <c r="BU42" s="26">
        <f t="shared" si="66"/>
        <v>344124.53055186738</v>
      </c>
      <c r="BV42" s="26">
        <f t="shared" si="66"/>
        <v>340683.28524634871</v>
      </c>
      <c r="BW42" s="26">
        <f t="shared" si="66"/>
        <v>337276.45239388524</v>
      </c>
      <c r="BX42" s="26">
        <f t="shared" si="66"/>
        <v>333903.68786994636</v>
      </c>
      <c r="BY42" s="26">
        <f t="shared" si="66"/>
        <v>330564.65099124686</v>
      </c>
      <c r="BZ42" s="26">
        <f t="shared" si="66"/>
        <v>327259.00448133441</v>
      </c>
      <c r="CA42" s="26">
        <f t="shared" si="66"/>
        <v>323986.41443652107</v>
      </c>
      <c r="CB42" s="26">
        <f t="shared" si="66"/>
        <v>320746.55029215588</v>
      </c>
      <c r="CC42" s="26">
        <f t="shared" si="66"/>
        <v>317539.08478923433</v>
      </c>
      <c r="CD42" s="26">
        <f t="shared" si="66"/>
        <v>314363.693941342</v>
      </c>
      <c r="CE42" s="26">
        <f t="shared" si="66"/>
        <v>311220.05700192857</v>
      </c>
      <c r="CF42" s="26">
        <f t="shared" si="66"/>
        <v>308107.85643190925</v>
      </c>
      <c r="CG42" s="26">
        <f t="shared" si="66"/>
        <v>305026.77786759014</v>
      </c>
      <c r="CH42" s="26">
        <f t="shared" si="66"/>
        <v>301976.51008891425</v>
      </c>
      <c r="CI42" s="26">
        <f t="shared" si="66"/>
        <v>298956.74498802511</v>
      </c>
      <c r="CJ42" s="26">
        <f t="shared" si="66"/>
        <v>295967.17753814487</v>
      </c>
      <c r="CK42" s="26">
        <f t="shared" si="66"/>
        <v>293007.50576276344</v>
      </c>
      <c r="CL42" s="26">
        <f t="shared" si="66"/>
        <v>290077.4307051358</v>
      </c>
      <c r="CM42" s="26">
        <f t="shared" si="66"/>
        <v>287176.65639808442</v>
      </c>
      <c r="CN42" s="26">
        <f t="shared" si="66"/>
        <v>284304.88983410358</v>
      </c>
      <c r="CO42" s="26">
        <f t="shared" si="66"/>
        <v>281461.84093576256</v>
      </c>
      <c r="CP42" s="26">
        <f t="shared" si="66"/>
        <v>278647.22252640495</v>
      </c>
      <c r="CQ42" s="26">
        <f t="shared" si="66"/>
        <v>275860.75030114088</v>
      </c>
      <c r="CR42" s="26">
        <f t="shared" si="66"/>
        <v>273102.14279812947</v>
      </c>
      <c r="CS42" s="26">
        <f t="shared" si="66"/>
        <v>270371.12137014815</v>
      </c>
      <c r="CT42" s="26">
        <f t="shared" si="66"/>
        <v>267667.41015644668</v>
      </c>
      <c r="CU42" s="26">
        <f t="shared" si="66"/>
        <v>264990.73605488223</v>
      </c>
      <c r="CV42" s="26">
        <f t="shared" si="66"/>
        <v>262340.82869433338</v>
      </c>
      <c r="CW42" s="26">
        <f t="shared" si="66"/>
        <v>259717.42040739005</v>
      </c>
      <c r="CX42" s="26">
        <f t="shared" si="66"/>
        <v>257120.24620331614</v>
      </c>
      <c r="CY42" s="26">
        <f t="shared" si="66"/>
        <v>254549.04374128298</v>
      </c>
      <c r="CZ42" s="26">
        <f t="shared" ref="CZ42:EE42" si="67">CY42*(1+$BZ$23)</f>
        <v>252003.55330387014</v>
      </c>
      <c r="DA42" s="26">
        <f t="shared" si="67"/>
        <v>249483.51777083144</v>
      </c>
      <c r="DB42" s="26">
        <f t="shared" si="67"/>
        <v>246988.68259312311</v>
      </c>
      <c r="DC42" s="26">
        <f t="shared" si="67"/>
        <v>244518.79576719188</v>
      </c>
      <c r="DD42" s="26">
        <f t="shared" si="67"/>
        <v>242073.60780951998</v>
      </c>
      <c r="DE42" s="26">
        <f t="shared" si="67"/>
        <v>239652.87173142476</v>
      </c>
      <c r="DF42" s="26">
        <f t="shared" si="67"/>
        <v>237256.34301411052</v>
      </c>
      <c r="DG42" s="26">
        <f t="shared" si="67"/>
        <v>234883.77958396942</v>
      </c>
      <c r="DH42" s="26">
        <f t="shared" si="67"/>
        <v>232534.94178812971</v>
      </c>
      <c r="DI42" s="26">
        <f t="shared" si="67"/>
        <v>230209.5923702484</v>
      </c>
      <c r="DJ42" s="26">
        <f t="shared" si="67"/>
        <v>227907.49644654591</v>
      </c>
      <c r="DK42" s="26">
        <f t="shared" si="67"/>
        <v>225628.42148208045</v>
      </c>
      <c r="DL42" s="26">
        <f t="shared" si="67"/>
        <v>223372.13726725965</v>
      </c>
      <c r="DM42" s="26">
        <f t="shared" si="67"/>
        <v>221138.41589458706</v>
      </c>
      <c r="DN42" s="26">
        <f t="shared" si="67"/>
        <v>218927.03173564118</v>
      </c>
      <c r="DO42" s="26">
        <f t="shared" si="67"/>
        <v>216737.76141828476</v>
      </c>
      <c r="DP42" s="26">
        <f t="shared" si="67"/>
        <v>214570.3838041019</v>
      </c>
      <c r="DQ42" s="26">
        <f t="shared" si="67"/>
        <v>212424.67996606088</v>
      </c>
      <c r="DR42" s="26">
        <f t="shared" si="67"/>
        <v>210300.43316640027</v>
      </c>
      <c r="DS42" s="26">
        <f t="shared" si="67"/>
        <v>208197.42883473626</v>
      </c>
      <c r="DT42" s="26">
        <f t="shared" si="67"/>
        <v>206115.45454638891</v>
      </c>
      <c r="DU42" s="26">
        <f t="shared" si="67"/>
        <v>204054.30000092502</v>
      </c>
      <c r="DV42" s="26">
        <f t="shared" si="67"/>
        <v>202013.75700091576</v>
      </c>
      <c r="DW42" s="26">
        <f t="shared" si="67"/>
        <v>199993.6194309066</v>
      </c>
      <c r="DX42" s="26">
        <f t="shared" si="67"/>
        <v>197993.68323659754</v>
      </c>
      <c r="DY42" s="26">
        <f t="shared" si="67"/>
        <v>196013.74640423156</v>
      </c>
      <c r="DZ42" s="26">
        <f t="shared" si="67"/>
        <v>194053.60894018924</v>
      </c>
      <c r="EA42" s="26">
        <f t="shared" si="67"/>
        <v>192113.07285078734</v>
      </c>
      <c r="EB42" s="26">
        <f t="shared" si="67"/>
        <v>190191.94212227946</v>
      </c>
      <c r="EC42" s="26">
        <f t="shared" si="67"/>
        <v>188290.02270105667</v>
      </c>
      <c r="ED42" s="26">
        <f t="shared" si="67"/>
        <v>186407.1224740461</v>
      </c>
      <c r="EE42" s="26">
        <f t="shared" si="67"/>
        <v>184543.05124930563</v>
      </c>
      <c r="EF42" s="26">
        <f t="shared" ref="EF42:FF42" si="68">EE42*(1+$BZ$23)</f>
        <v>182697.62073681256</v>
      </c>
      <c r="EG42" s="26">
        <f t="shared" si="68"/>
        <v>180870.64452944443</v>
      </c>
      <c r="EH42" s="26">
        <f t="shared" si="68"/>
        <v>179061.93808415</v>
      </c>
      <c r="EI42" s="26">
        <f t="shared" si="68"/>
        <v>177271.3187033085</v>
      </c>
      <c r="EJ42" s="26">
        <f t="shared" si="68"/>
        <v>175498.60551627542</v>
      </c>
      <c r="EK42" s="26">
        <f t="shared" si="68"/>
        <v>173743.61946111266</v>
      </c>
      <c r="EL42" s="26">
        <f t="shared" si="68"/>
        <v>172006.18326650152</v>
      </c>
      <c r="EM42" s="26">
        <f t="shared" si="68"/>
        <v>170286.1214338365</v>
      </c>
      <c r="EN42" s="26">
        <f t="shared" si="68"/>
        <v>168583.26021949813</v>
      </c>
      <c r="EO42" s="26">
        <f t="shared" si="68"/>
        <v>166897.42761730315</v>
      </c>
      <c r="EP42" s="26">
        <f t="shared" si="68"/>
        <v>165228.45334113011</v>
      </c>
      <c r="EQ42" s="26">
        <f t="shared" si="68"/>
        <v>163576.16880771882</v>
      </c>
      <c r="ER42" s="26">
        <f t="shared" si="68"/>
        <v>161940.40711964163</v>
      </c>
      <c r="ES42" s="26">
        <f t="shared" si="68"/>
        <v>160321.00304844521</v>
      </c>
      <c r="ET42" s="26">
        <f t="shared" si="68"/>
        <v>158717.79301796076</v>
      </c>
      <c r="EU42" s="26">
        <f t="shared" si="68"/>
        <v>157130.61508778116</v>
      </c>
      <c r="EV42" s="26">
        <f t="shared" si="68"/>
        <v>155559.30893690334</v>
      </c>
      <c r="EW42" s="26">
        <f t="shared" si="68"/>
        <v>154003.7158475343</v>
      </c>
      <c r="EX42" s="26">
        <f t="shared" si="68"/>
        <v>152463.67868905896</v>
      </c>
      <c r="EY42" s="26">
        <f t="shared" si="68"/>
        <v>150939.04190216836</v>
      </c>
      <c r="EZ42" s="26">
        <f t="shared" si="68"/>
        <v>149429.65148314668</v>
      </c>
      <c r="FA42" s="26">
        <f t="shared" si="68"/>
        <v>147935.35496831522</v>
      </c>
      <c r="FB42" s="26">
        <f t="shared" si="68"/>
        <v>146456.00141863208</v>
      </c>
      <c r="FC42" s="26">
        <f t="shared" si="68"/>
        <v>144991.44140444577</v>
      </c>
      <c r="FD42" s="26">
        <f t="shared" si="68"/>
        <v>143541.5269904013</v>
      </c>
      <c r="FE42" s="26">
        <f t="shared" si="68"/>
        <v>142106.11172049728</v>
      </c>
      <c r="FF42" s="26">
        <f t="shared" si="68"/>
        <v>140685.0506032923</v>
      </c>
    </row>
    <row r="43" spans="1:162" x14ac:dyDescent="0.35">
      <c r="B43" s="11" t="s">
        <v>63</v>
      </c>
      <c r="C43" s="14">
        <f t="shared" ref="C43:E43" si="69">+C42/C44</f>
        <v>0.97255857987156114</v>
      </c>
      <c r="D43" s="14">
        <f t="shared" si="69"/>
        <v>0.68176083107937602</v>
      </c>
      <c r="E43" s="14">
        <f t="shared" si="69"/>
        <v>0.58452984598534197</v>
      </c>
      <c r="F43" s="14">
        <f>+F42/F44</f>
        <v>0.70623460408563088</v>
      </c>
      <c r="G43" s="14">
        <f>G42/G44</f>
        <v>1.0456709693246804</v>
      </c>
      <c r="H43" s="14">
        <f>H42/H44</f>
        <v>0.57465505804946815</v>
      </c>
      <c r="I43" s="14">
        <f>I42/I44</f>
        <v>0.50583442794961786</v>
      </c>
      <c r="J43" s="14">
        <f>J42/J44</f>
        <v>0.68198738070598441</v>
      </c>
      <c r="K43" s="14">
        <f>+K42/K44</f>
        <v>1.2479223042091785</v>
      </c>
      <c r="L43" s="14">
        <f t="shared" ref="L43:N43" si="70">+L42/L44</f>
        <v>0.63846699811252383</v>
      </c>
      <c r="M43" s="14">
        <f t="shared" si="70"/>
        <v>0.64601300384622584</v>
      </c>
      <c r="N43" s="14">
        <f t="shared" si="70"/>
        <v>0.73438904632051849</v>
      </c>
      <c r="O43" s="14">
        <f>+O42/O44</f>
        <v>1.6802339741147556</v>
      </c>
      <c r="P43" s="14">
        <f>+P42/P44</f>
        <v>1.3958166966021994</v>
      </c>
      <c r="Q43" s="14">
        <f>+Q42/Q44</f>
        <v>1.2956943963183782</v>
      </c>
      <c r="R43" s="14">
        <f t="shared" ref="R43:S43" si="71">+R42/R44</f>
        <v>1.2354000701047909</v>
      </c>
      <c r="S43" s="14">
        <f t="shared" si="71"/>
        <v>2.0963369432743812</v>
      </c>
      <c r="T43" s="14">
        <f>+T42/T44</f>
        <v>1.5246917147727936</v>
      </c>
      <c r="U43" s="14">
        <f t="shared" ref="U43:W43" si="72">+U42/U44</f>
        <v>1.1955329791418789</v>
      </c>
      <c r="V43" s="14">
        <f t="shared" si="72"/>
        <v>1.2855442500262897</v>
      </c>
      <c r="W43" s="14">
        <f t="shared" si="72"/>
        <v>1.8800783518485347</v>
      </c>
      <c r="X43" s="14">
        <f>+X42/X44</f>
        <v>1.5245739743359175</v>
      </c>
      <c r="Y43" s="55">
        <f>Y42/Y44</f>
        <v>1.2602835837746269</v>
      </c>
      <c r="Z43" s="33">
        <f>Z42/Z44</f>
        <v>1.4516422201609713</v>
      </c>
      <c r="AA43" s="33">
        <f>AA42/AA44</f>
        <v>1.7827310189957044</v>
      </c>
      <c r="AC43" s="11"/>
      <c r="AD43" s="11"/>
      <c r="AE43" s="37">
        <f t="shared" ref="AE43:AX43" si="73">+AE42/AE44</f>
        <v>1.4348197733151276</v>
      </c>
      <c r="AF43" s="37">
        <f t="shared" si="73"/>
        <v>-0.33563552296933274</v>
      </c>
      <c r="AG43" s="37">
        <f t="shared" si="73"/>
        <v>0.26535096811642273</v>
      </c>
      <c r="AH43" s="37">
        <f t="shared" si="73"/>
        <v>0.12931058200767059</v>
      </c>
      <c r="AI43" s="37">
        <f t="shared" si="73"/>
        <v>0.38599471742346592</v>
      </c>
      <c r="AJ43" s="37">
        <f t="shared" si="73"/>
        <v>1.5581596209061837</v>
      </c>
      <c r="AK43" s="37">
        <f t="shared" si="73"/>
        <v>2.266599508162721</v>
      </c>
      <c r="AL43" s="37">
        <f t="shared" si="73"/>
        <v>3.9312171930029729</v>
      </c>
      <c r="AM43" s="37">
        <f t="shared" si="73"/>
        <v>6.7827685090656757</v>
      </c>
      <c r="AN43" s="37">
        <f t="shared" si="73"/>
        <v>9.0793325284866118</v>
      </c>
      <c r="AO43" s="37">
        <f t="shared" si="73"/>
        <v>15.15390737872981</v>
      </c>
      <c r="AP43" s="37">
        <f t="shared" si="73"/>
        <v>27.675373273759003</v>
      </c>
      <c r="AQ43" s="37">
        <f t="shared" si="73"/>
        <v>6.3064763445557777</v>
      </c>
      <c r="AR43" s="37">
        <f t="shared" si="73"/>
        <v>5.6790982137298718</v>
      </c>
      <c r="AS43" s="37">
        <f t="shared" si="73"/>
        <v>6.4530744220284548</v>
      </c>
      <c r="AT43" s="37">
        <f t="shared" si="73"/>
        <v>9.216876236067618</v>
      </c>
      <c r="AU43" s="37">
        <f t="shared" si="73"/>
        <v>8.3063028961611227</v>
      </c>
      <c r="AV43" s="37">
        <f t="shared" si="73"/>
        <v>9.2067470826545037</v>
      </c>
      <c r="AW43" s="37">
        <f t="shared" si="73"/>
        <v>2.9764851126245446</v>
      </c>
      <c r="AX43" s="37">
        <f t="shared" si="73"/>
        <v>2.9714474637107351</v>
      </c>
      <c r="AY43" s="37">
        <f>+AY42/AY44</f>
        <v>3.2753479151477172</v>
      </c>
      <c r="AZ43" s="37">
        <f>+AZ42/AZ44</f>
        <v>5.6140203576723327</v>
      </c>
      <c r="BA43" s="38">
        <f>+BA42/BA44</f>
        <v>6.1132002950847406</v>
      </c>
      <c r="BB43" s="45">
        <f>SUM(W43:Z43)</f>
        <v>6.1165781301200504</v>
      </c>
      <c r="BC43" s="37">
        <f>BC42/BC44</f>
        <v>6.1151014125245622</v>
      </c>
      <c r="BD43" s="37">
        <f t="shared" ref="BD43:BS43" si="74">BD42/BD44</f>
        <v>6.5875854861168071</v>
      </c>
      <c r="BE43" s="37">
        <f t="shared" si="74"/>
        <v>7.1026174143785461</v>
      </c>
      <c r="BF43" s="37">
        <f t="shared" si="74"/>
        <v>7.6644251320148395</v>
      </c>
      <c r="BG43" s="37">
        <f t="shared" si="74"/>
        <v>8.2776783072764175</v>
      </c>
      <c r="BH43" s="37">
        <f t="shared" si="74"/>
        <v>8.9475355958753262</v>
      </c>
      <c r="BI43" s="37">
        <f t="shared" si="74"/>
        <v>9.6796970061746048</v>
      </c>
      <c r="BJ43" s="37">
        <f t="shared" si="74"/>
        <v>10.480461931578672</v>
      </c>
      <c r="BK43" s="37">
        <f t="shared" si="74"/>
        <v>11.356793466700717</v>
      </c>
      <c r="BL43" s="37">
        <f t="shared" si="74"/>
        <v>12.31638969116181</v>
      </c>
      <c r="BM43" s="37">
        <f t="shared" si="74"/>
        <v>13.367762679509781</v>
      </c>
      <c r="BN43" s="37">
        <f t="shared" si="74"/>
        <v>14.520326078538945</v>
      </c>
      <c r="BO43" s="37">
        <f t="shared" si="74"/>
        <v>15.784492185136973</v>
      </c>
      <c r="BP43" s="37">
        <f t="shared" si="74"/>
        <v>17.171779559675684</v>
      </c>
      <c r="BQ43" s="37">
        <f t="shared" si="74"/>
        <v>18.694932322995104</v>
      </c>
      <c r="BR43" s="37">
        <f t="shared" si="74"/>
        <v>20.368052410427595</v>
      </c>
      <c r="BS43" s="37">
        <f t="shared" si="74"/>
        <v>22.206746195423474</v>
      </c>
    </row>
    <row r="44" spans="1:162" x14ac:dyDescent="0.35">
      <c r="A44" t="s">
        <v>25</v>
      </c>
      <c r="B44" s="9" t="s">
        <v>64</v>
      </c>
      <c r="C44" s="9">
        <f>5157.787*4</f>
        <v>20631.148000000001</v>
      </c>
      <c r="D44" s="9">
        <f>5068.493*4</f>
        <v>20273.972000000002</v>
      </c>
      <c r="E44" s="9">
        <f>4926.609*4</f>
        <v>19706.436000000002</v>
      </c>
      <c r="F44" s="9">
        <f>5000.109*4</f>
        <v>20000.436000000002</v>
      </c>
      <c r="G44" s="9">
        <f>4773.251*4</f>
        <v>19093.004000000001</v>
      </c>
      <c r="H44" s="9">
        <f>4700.646*4</f>
        <v>18802.583999999999</v>
      </c>
      <c r="I44" s="9">
        <f>4601.308*4</f>
        <v>18405.232</v>
      </c>
      <c r="J44" s="9">
        <f>4648.913*4</f>
        <v>18595.651999999998</v>
      </c>
      <c r="K44" s="9">
        <v>17818.417000000001</v>
      </c>
      <c r="L44" s="9">
        <v>17618.764999999999</v>
      </c>
      <c r="M44" s="9">
        <v>17419.153999999999</v>
      </c>
      <c r="N44" s="9">
        <v>17256.521000000001</v>
      </c>
      <c r="O44" s="9">
        <v>17113.687999999998</v>
      </c>
      <c r="P44" s="9">
        <v>16929.156999999999</v>
      </c>
      <c r="Q44" s="9">
        <v>16781.735000000001</v>
      </c>
      <c r="R44" s="9">
        <v>16635.097000000002</v>
      </c>
      <c r="S44" s="9">
        <v>16519.291000000001</v>
      </c>
      <c r="T44" s="9">
        <v>16403.315999999999</v>
      </c>
      <c r="U44" s="9">
        <v>16262.203</v>
      </c>
      <c r="V44" s="9">
        <v>16118.465</v>
      </c>
      <c r="W44" s="9">
        <v>15955.718000000001</v>
      </c>
      <c r="X44" s="9">
        <v>15847.05</v>
      </c>
      <c r="Y44" s="30">
        <v>15775.021000000001</v>
      </c>
      <c r="Z44" s="26">
        <f>Y44</f>
        <v>15775.021000000001</v>
      </c>
      <c r="AA44" s="26">
        <f>Z44</f>
        <v>15775.021000000001</v>
      </c>
      <c r="AC44" s="9"/>
      <c r="AD44" s="9"/>
      <c r="AE44" s="9">
        <v>360.32400000000001</v>
      </c>
      <c r="AF44" s="26">
        <v>345.613</v>
      </c>
      <c r="AG44" s="26">
        <v>361.78500000000003</v>
      </c>
      <c r="AH44" s="26">
        <v>726.93200000000002</v>
      </c>
      <c r="AI44" s="26">
        <v>774.62199999999996</v>
      </c>
      <c r="AJ44" s="26">
        <v>856.78</v>
      </c>
      <c r="AK44" s="26">
        <v>877.52599999999995</v>
      </c>
      <c r="AL44" s="26">
        <v>889.29200000000003</v>
      </c>
      <c r="AM44" s="26">
        <v>902.13900000000001</v>
      </c>
      <c r="AN44" s="26">
        <v>907.005</v>
      </c>
      <c r="AO44" s="26">
        <v>924.71199999999999</v>
      </c>
      <c r="AP44" s="26">
        <v>936.64499999999998</v>
      </c>
      <c r="AQ44" s="26">
        <v>6617.4830000000002</v>
      </c>
      <c r="AR44" s="26">
        <v>6521.634</v>
      </c>
      <c r="AS44" s="26">
        <v>6122.6629999999996</v>
      </c>
      <c r="AT44" s="26">
        <v>5793.0690000000004</v>
      </c>
      <c r="AU44" s="26">
        <v>5500.2809999999999</v>
      </c>
      <c r="AV44" s="26">
        <v>5251.692</v>
      </c>
      <c r="AW44" s="26">
        <f>5000.109*4</f>
        <v>20000.436000000002</v>
      </c>
      <c r="AX44" s="26">
        <v>18595.651000000002</v>
      </c>
      <c r="AY44" s="26">
        <f>AVERAGE(K44:N44)</f>
        <v>17528.214249999997</v>
      </c>
      <c r="AZ44" s="26">
        <f>AVERAGE(O44:R44)</f>
        <v>16864.919249999999</v>
      </c>
      <c r="BA44" s="30">
        <f>AVERAGE(S44:V44)</f>
        <v>16325.818750000002</v>
      </c>
      <c r="BB44" s="43">
        <f>AVERAGE($X$44:$Y$44)</f>
        <v>15811.0355</v>
      </c>
      <c r="BC44" s="26">
        <f>BB44</f>
        <v>15811.0355</v>
      </c>
      <c r="BD44" s="26">
        <f t="shared" ref="BD44:BS44" si="75">BC44</f>
        <v>15811.0355</v>
      </c>
      <c r="BE44" s="26">
        <f t="shared" si="75"/>
        <v>15811.0355</v>
      </c>
      <c r="BF44" s="26">
        <f t="shared" si="75"/>
        <v>15811.0355</v>
      </c>
      <c r="BG44" s="26">
        <f t="shared" si="75"/>
        <v>15811.0355</v>
      </c>
      <c r="BH44" s="26">
        <f t="shared" si="75"/>
        <v>15811.0355</v>
      </c>
      <c r="BI44" s="26">
        <f t="shared" si="75"/>
        <v>15811.0355</v>
      </c>
      <c r="BJ44" s="26">
        <f t="shared" si="75"/>
        <v>15811.0355</v>
      </c>
      <c r="BK44" s="26">
        <f t="shared" si="75"/>
        <v>15811.0355</v>
      </c>
      <c r="BL44" s="26">
        <f t="shared" si="75"/>
        <v>15811.0355</v>
      </c>
      <c r="BM44" s="26">
        <f t="shared" si="75"/>
        <v>15811.0355</v>
      </c>
      <c r="BN44" s="26">
        <f t="shared" si="75"/>
        <v>15811.0355</v>
      </c>
      <c r="BO44" s="26">
        <f t="shared" si="75"/>
        <v>15811.0355</v>
      </c>
      <c r="BP44" s="26">
        <f t="shared" si="75"/>
        <v>15811.0355</v>
      </c>
      <c r="BQ44" s="26">
        <f t="shared" si="75"/>
        <v>15811.0355</v>
      </c>
      <c r="BR44" s="26">
        <f t="shared" si="75"/>
        <v>15811.0355</v>
      </c>
      <c r="BS44" s="26">
        <f t="shared" si="75"/>
        <v>15811.0355</v>
      </c>
    </row>
    <row r="45" spans="1:162" x14ac:dyDescent="0.35">
      <c r="F45" s="28"/>
      <c r="G45" s="28"/>
      <c r="Y45" s="22"/>
      <c r="BA45" s="22"/>
    </row>
    <row r="46" spans="1:162" x14ac:dyDescent="0.35">
      <c r="A46" t="s">
        <v>25</v>
      </c>
      <c r="B46" s="10" t="s">
        <v>65</v>
      </c>
      <c r="C46" s="11"/>
      <c r="D46" s="11"/>
      <c r="E46" s="11"/>
      <c r="F46" s="11"/>
      <c r="G46" s="27">
        <f>G30/C30-1</f>
        <v>-4.5111163965433243E-2</v>
      </c>
      <c r="H46" s="27">
        <f>H30/D30-1</f>
        <v>-5.1065639465462831E-2</v>
      </c>
      <c r="I46" s="27">
        <f>I30/E30-1</f>
        <v>1.0213085515817122E-2</v>
      </c>
      <c r="J46" s="27">
        <f>J30/F30-1</f>
        <v>1.8124006359300449E-2</v>
      </c>
      <c r="K46" s="27">
        <f t="shared" ref="K46:L46" si="76">K30/G30-1</f>
        <v>8.9064167951607098E-2</v>
      </c>
      <c r="L46" s="27">
        <f t="shared" si="76"/>
        <v>5.1366026027750422E-3</v>
      </c>
      <c r="M46" s="27">
        <f>M30/I30-1</f>
        <v>0.10920106301919752</v>
      </c>
      <c r="N46" s="27">
        <f>N30/J30-1</f>
        <v>1.0274828232354816E-2</v>
      </c>
      <c r="O46" s="15">
        <f>O30/K30-1</f>
        <v>0.21368126422635836</v>
      </c>
      <c r="P46" s="15">
        <f t="shared" ref="P46:R46" si="77">P30/L30-1</f>
        <v>0.53626121105070901</v>
      </c>
      <c r="Q46" s="15">
        <f t="shared" si="77"/>
        <v>0.36439641450950822</v>
      </c>
      <c r="R46" s="15">
        <f t="shared" si="77"/>
        <v>0.28844786546724777</v>
      </c>
      <c r="S46" s="15">
        <f>S30/O30-1</f>
        <v>0.11222283042740866</v>
      </c>
      <c r="T46" s="15">
        <f>T30/P30-1</f>
        <v>8.5885872477228009E-2</v>
      </c>
      <c r="U46" s="15">
        <f>U30/Q30-1</f>
        <v>1.8726821720657316E-2</v>
      </c>
      <c r="V46" s="15">
        <f>V30/R30-1</f>
        <v>8.1405950095969182E-2</v>
      </c>
      <c r="W46" s="15">
        <f t="shared" ref="W46:X46" si="78">W30/S30-1</f>
        <v>-5.4790431239662762E-2</v>
      </c>
      <c r="X46" s="15">
        <f t="shared" si="78"/>
        <v>-2.5103312156911084E-2</v>
      </c>
      <c r="Y46" s="24">
        <f>Y30/U30-1</f>
        <v>-1.4006919080509661E-2</v>
      </c>
      <c r="Z46" s="16">
        <f>Z30/V30-1</f>
        <v>3.2353402452389712E-2</v>
      </c>
      <c r="AA46" s="16">
        <f>AA30/W30-1</f>
        <v>-1.0582304880144666E-2</v>
      </c>
      <c r="AB46" s="16"/>
      <c r="AC46" s="11"/>
      <c r="AD46" s="11"/>
      <c r="AE46" s="15">
        <f t="shared" ref="AE46:AW46" si="79">+AE30/AD30-1</f>
        <v>0.30143462667101395</v>
      </c>
      <c r="AF46" s="15">
        <f t="shared" si="79"/>
        <v>-0.32819741951647252</v>
      </c>
      <c r="AG46" s="15">
        <f t="shared" si="79"/>
        <v>7.0669401454409808E-2</v>
      </c>
      <c r="AH46" s="15">
        <f t="shared" si="79"/>
        <v>8.0982236154649945E-2</v>
      </c>
      <c r="AI46" s="15">
        <f t="shared" si="79"/>
        <v>0.33381665861124543</v>
      </c>
      <c r="AJ46" s="15">
        <f t="shared" si="79"/>
        <v>0.68269114627370464</v>
      </c>
      <c r="AK46" s="15">
        <f t="shared" si="79"/>
        <v>0.38647620414902017</v>
      </c>
      <c r="AL46" s="15">
        <f t="shared" si="79"/>
        <v>0.24286823712140815</v>
      </c>
      <c r="AM46" s="15">
        <f t="shared" si="79"/>
        <v>0.56173456635841035</v>
      </c>
      <c r="AN46" s="15">
        <f t="shared" si="79"/>
        <v>0.14440799125123371</v>
      </c>
      <c r="AO46" s="15">
        <f t="shared" si="79"/>
        <v>0.52021908868430256</v>
      </c>
      <c r="AP46" s="15">
        <f t="shared" si="79"/>
        <v>0.65962437715599842</v>
      </c>
      <c r="AQ46" s="15">
        <f t="shared" si="79"/>
        <v>0.44581474193756976</v>
      </c>
      <c r="AR46" s="15">
        <f t="shared" si="79"/>
        <v>9.2020855163953197E-2</v>
      </c>
      <c r="AS46" s="15">
        <f t="shared" si="79"/>
        <v>6.9539523725937524E-2</v>
      </c>
      <c r="AT46" s="15">
        <f t="shared" si="79"/>
        <v>0.27856341803659834</v>
      </c>
      <c r="AU46" s="15">
        <f t="shared" si="79"/>
        <v>-7.7342061913013738E-2</v>
      </c>
      <c r="AV46" s="15">
        <f t="shared" si="79"/>
        <v>6.304518199398057E-2</v>
      </c>
      <c r="AW46" s="15">
        <f t="shared" si="79"/>
        <v>0.15861957650261305</v>
      </c>
      <c r="AX46" s="15">
        <f>+AX30/AW30-1</f>
        <v>-2.04107758052674E-2</v>
      </c>
      <c r="AY46" s="15">
        <f>+AY30/AX30-1</f>
        <v>5.5120803769784787E-2</v>
      </c>
      <c r="AZ46" s="15">
        <f t="shared" ref="AZ46:BA46" si="80">+AZ30/AY30-1</f>
        <v>0.33259384733074704</v>
      </c>
      <c r="BA46" s="23">
        <f t="shared" si="80"/>
        <v>7.7937876041846099E-2</v>
      </c>
      <c r="BB46" s="15">
        <f>+BB30/BA30-1</f>
        <v>-1.8965100582578054E-2</v>
      </c>
      <c r="BC46" s="15">
        <f>+BC30/BB30-1</f>
        <v>6.2814898269731856E-2</v>
      </c>
      <c r="BD46" s="15">
        <f t="shared" ref="BD46:BS46" si="81">+BD30/BC30-1</f>
        <v>6.3568858687551577E-2</v>
      </c>
      <c r="BE46" s="15">
        <f t="shared" si="81"/>
        <v>6.4339337221620774E-2</v>
      </c>
      <c r="BF46" s="15">
        <f t="shared" si="81"/>
        <v>6.5125636039018886E-2</v>
      </c>
      <c r="BG46" s="15">
        <f t="shared" si="81"/>
        <v>6.5926976435340068E-2</v>
      </c>
      <c r="BH46" s="15">
        <f t="shared" si="81"/>
        <v>6.6742500349901368E-2</v>
      </c>
      <c r="BI46" s="15">
        <f t="shared" si="81"/>
        <v>6.7571272707144026E-2</v>
      </c>
      <c r="BJ46" s="15">
        <f t="shared" si="81"/>
        <v>6.8412284596889528E-2</v>
      </c>
      <c r="BK46" s="15">
        <f t="shared" si="81"/>
        <v>6.9264457291743131E-2</v>
      </c>
      <c r="BL46" s="15">
        <f t="shared" si="81"/>
        <v>7.0126647084710836E-2</v>
      </c>
      <c r="BM46" s="15">
        <f t="shared" si="81"/>
        <v>7.0997650914371491E-2</v>
      </c>
      <c r="BN46" s="15">
        <f t="shared" si="81"/>
        <v>7.1876212729175215E-2</v>
      </c>
      <c r="BO46" s="15">
        <f t="shared" si="81"/>
        <v>7.276103052706806E-2</v>
      </c>
      <c r="BP46" s="15">
        <f t="shared" si="81"/>
        <v>7.3650763992169521E-2</v>
      </c>
      <c r="BQ46" s="15">
        <f t="shared" si="81"/>
        <v>7.4544042637071595E-2</v>
      </c>
      <c r="BR46" s="15">
        <f t="shared" si="81"/>
        <v>7.5439474347968938E-2</v>
      </c>
      <c r="BS46" s="15">
        <f t="shared" si="81"/>
        <v>7.6335654220621718E-2</v>
      </c>
    </row>
    <row r="47" spans="1:162" x14ac:dyDescent="0.35">
      <c r="B47" s="10" t="s">
        <v>66</v>
      </c>
      <c r="C47" s="11"/>
      <c r="D47" s="11"/>
      <c r="E47" s="11"/>
      <c r="F47" s="11"/>
      <c r="G47" s="15">
        <f>G20/C20-1</f>
        <v>-0.14928646242471855</v>
      </c>
      <c r="H47" s="15">
        <f t="shared" ref="H47:N47" si="82">H20/D20-1</f>
        <v>-0.18355595288178372</v>
      </c>
      <c r="I47" s="15">
        <f t="shared" si="82"/>
        <v>-0.13107737577743594</v>
      </c>
      <c r="J47" s="15">
        <f t="shared" si="82"/>
        <v>-0.11405581963512756</v>
      </c>
      <c r="K47" s="15">
        <f t="shared" si="82"/>
        <v>7.6468777653803333E-2</v>
      </c>
      <c r="L47" s="15">
        <f t="shared" si="82"/>
        <v>-6.727641621847924E-2</v>
      </c>
      <c r="M47" s="15">
        <f t="shared" si="82"/>
        <v>1.6624336181020549E-2</v>
      </c>
      <c r="N47" s="15">
        <f t="shared" si="82"/>
        <v>-0.20736166896469033</v>
      </c>
      <c r="O47" s="15">
        <f>+O20/K20-1</f>
        <v>0.1722751398395197</v>
      </c>
      <c r="P47" s="15">
        <f t="shared" ref="P47:W47" si="83">+P20/L20-1</f>
        <v>0.65520336993301576</v>
      </c>
      <c r="Q47" s="15">
        <f t="shared" si="83"/>
        <v>0.49784238019532134</v>
      </c>
      <c r="R47" s="15">
        <f t="shared" si="83"/>
        <v>0.46982302223566785</v>
      </c>
      <c r="S47" s="15">
        <f t="shared" si="83"/>
        <v>9.1940180191167231E-2</v>
      </c>
      <c r="T47" s="15">
        <f t="shared" si="83"/>
        <v>5.4904251324627618E-2</v>
      </c>
      <c r="U47" s="15">
        <f t="shared" si="83"/>
        <v>2.7672479150871787E-2</v>
      </c>
      <c r="V47" s="15">
        <f t="shared" si="83"/>
        <v>9.6686220026757308E-2</v>
      </c>
      <c r="W47" s="15">
        <f t="shared" si="83"/>
        <v>-8.1713854917071505E-2</v>
      </c>
      <c r="X47" s="15">
        <f>+X20/T20-1</f>
        <v>1.510777140597197E-2</v>
      </c>
      <c r="Y47" s="23">
        <f>+Y20/U20-1</f>
        <v>-2.4492807082257428E-2</v>
      </c>
      <c r="Z47" s="15">
        <f>+Z20/V20-1</f>
        <v>0.18278425902693574</v>
      </c>
      <c r="AA47" s="15">
        <f>+AA20/W20-1</f>
        <v>-9.7961245901999616E-3</v>
      </c>
      <c r="AC47" s="11"/>
      <c r="AD47" s="11"/>
      <c r="AE47" s="11"/>
      <c r="AF47" s="11"/>
      <c r="AG47" s="11"/>
      <c r="AH47" s="11"/>
      <c r="AI47" s="11"/>
      <c r="AJ47" s="11"/>
      <c r="AK47" s="11"/>
      <c r="AL47" s="15"/>
      <c r="AM47" s="39">
        <f>+AM20/AL20-1</f>
        <v>53.8130081300813</v>
      </c>
      <c r="AN47" s="39">
        <f t="shared" ref="AN47:AZ47" si="84">+AN20/AM20-1</f>
        <v>0.93310590329279153</v>
      </c>
      <c r="AO47" s="39">
        <f t="shared" si="84"/>
        <v>0.93194199340136574</v>
      </c>
      <c r="AP47" s="39">
        <f t="shared" si="84"/>
        <v>0.82683982683982693</v>
      </c>
      <c r="AQ47" s="39">
        <f t="shared" si="84"/>
        <v>0.71077003347971646</v>
      </c>
      <c r="AR47" s="39">
        <f t="shared" si="84"/>
        <v>0.15995272708788688</v>
      </c>
      <c r="AS47" s="39">
        <f t="shared" si="84"/>
        <v>0.11735448460215392</v>
      </c>
      <c r="AT47" s="39">
        <f t="shared" si="84"/>
        <v>0.52014393426870997</v>
      </c>
      <c r="AU47" s="39">
        <f t="shared" si="84"/>
        <v>-0.11829774059764842</v>
      </c>
      <c r="AV47" s="39">
        <f t="shared" si="84"/>
        <v>3.3789319678127372E-2</v>
      </c>
      <c r="AW47" s="39">
        <f t="shared" si="84"/>
        <v>0.1795936852086415</v>
      </c>
      <c r="AX47" s="39">
        <f>+AX20/AW20-1</f>
        <v>-0.14587969933832834</v>
      </c>
      <c r="AY47" s="39">
        <f>+AY20/AX20-1</f>
        <v>-3.2307681502447672E-2</v>
      </c>
      <c r="AZ47" s="39">
        <f t="shared" si="84"/>
        <v>0.39331983364905176</v>
      </c>
      <c r="BA47" s="40">
        <f t="shared" ref="BA47:BN47" si="85">+BA20/AZ20-1</f>
        <v>7.0405734139696641E-2</v>
      </c>
      <c r="BB47" s="39">
        <f t="shared" si="85"/>
        <v>8.3039083614313558E-3</v>
      </c>
      <c r="BC47" s="39">
        <f t="shared" si="85"/>
        <v>4.4999999999999929E-2</v>
      </c>
      <c r="BD47" s="39">
        <f t="shared" si="85"/>
        <v>4.4999999999999929E-2</v>
      </c>
      <c r="BE47" s="39">
        <f t="shared" si="85"/>
        <v>4.4999999999999929E-2</v>
      </c>
      <c r="BF47" s="39">
        <f t="shared" si="85"/>
        <v>4.4999999999999929E-2</v>
      </c>
      <c r="BG47" s="39">
        <f t="shared" si="85"/>
        <v>4.4999999999999929E-2</v>
      </c>
      <c r="BH47" s="39">
        <f t="shared" si="85"/>
        <v>4.4999999999999929E-2</v>
      </c>
      <c r="BI47" s="39">
        <f t="shared" si="85"/>
        <v>4.4999999999999929E-2</v>
      </c>
      <c r="BJ47" s="39">
        <f t="shared" si="85"/>
        <v>4.4999999999999929E-2</v>
      </c>
      <c r="BK47" s="39">
        <f t="shared" si="85"/>
        <v>4.4999999999999929E-2</v>
      </c>
      <c r="BL47" s="39">
        <f t="shared" si="85"/>
        <v>4.4999999999999929E-2</v>
      </c>
      <c r="BM47" s="39">
        <f t="shared" si="85"/>
        <v>4.4999999999999929E-2</v>
      </c>
      <c r="BN47" s="39">
        <f t="shared" si="85"/>
        <v>4.4999999999999929E-2</v>
      </c>
      <c r="BO47" s="39">
        <f t="shared" ref="BO47:BS47" si="86">+BO20/BN20-1</f>
        <v>4.4999999999999929E-2</v>
      </c>
      <c r="BP47" s="39">
        <f t="shared" si="86"/>
        <v>4.4999999999999929E-2</v>
      </c>
      <c r="BQ47" s="39">
        <f t="shared" si="86"/>
        <v>4.4999999999999929E-2</v>
      </c>
      <c r="BR47" s="39">
        <f t="shared" si="86"/>
        <v>4.4999999999999929E-2</v>
      </c>
      <c r="BS47" s="39">
        <f t="shared" si="86"/>
        <v>4.4999999999999929E-2</v>
      </c>
    </row>
    <row r="48" spans="1:162" x14ac:dyDescent="0.35">
      <c r="B48" s="10" t="s">
        <v>107</v>
      </c>
      <c r="C48" s="11"/>
      <c r="D48" s="11"/>
      <c r="E48" s="11"/>
      <c r="F48" s="11"/>
      <c r="G48" s="15">
        <f>G24/C24-1</f>
        <v>8.6752637749120787E-2</v>
      </c>
      <c r="H48" s="15">
        <f t="shared" ref="H48:X48" si="87">H24/D24-1</f>
        <v>-5.728454172366626E-2</v>
      </c>
      <c r="I48" s="15">
        <f t="shared" si="87"/>
        <v>9.1932457786116251E-2</v>
      </c>
      <c r="J48" s="15">
        <f t="shared" si="87"/>
        <v>-6.5624164661855167E-2</v>
      </c>
      <c r="K48" s="15">
        <f t="shared" si="87"/>
        <v>-3.4519956850053934E-2</v>
      </c>
      <c r="L48" s="15">
        <f t="shared" si="87"/>
        <v>-2.9385089787774321E-2</v>
      </c>
      <c r="M48" s="15">
        <f t="shared" si="87"/>
        <v>0.21632302405498272</v>
      </c>
      <c r="N48" s="15">
        <f t="shared" si="87"/>
        <v>0.2919467887283651</v>
      </c>
      <c r="O48" s="15">
        <f t="shared" si="87"/>
        <v>0.21159217877094982</v>
      </c>
      <c r="P48" s="15">
        <f t="shared" si="87"/>
        <v>0.70099046907120166</v>
      </c>
      <c r="Q48" s="15">
        <f t="shared" si="87"/>
        <v>0.16329990111597681</v>
      </c>
      <c r="R48" s="15">
        <f t="shared" si="87"/>
        <v>1.6164747564216153E-2</v>
      </c>
      <c r="S48" s="15">
        <f t="shared" si="87"/>
        <v>0.2509510086455331</v>
      </c>
      <c r="T48" s="15">
        <f t="shared" si="87"/>
        <v>0.14645132937815863</v>
      </c>
      <c r="U48" s="15">
        <f t="shared" si="87"/>
        <v>-0.10358227079538551</v>
      </c>
      <c r="V48" s="15">
        <f t="shared" si="87"/>
        <v>0.25386794508607546</v>
      </c>
      <c r="W48" s="15">
        <f t="shared" si="87"/>
        <v>-0.28722816070770363</v>
      </c>
      <c r="X48" s="15">
        <f t="shared" si="87"/>
        <v>-0.31308097747963581</v>
      </c>
      <c r="Y48" s="23">
        <f t="shared" ref="Y48:AA49" si="88">Y24/U24-1</f>
        <v>-7.3421836900568915E-2</v>
      </c>
      <c r="Z48" s="15">
        <f t="shared" si="88"/>
        <v>-0.38825116086404809</v>
      </c>
      <c r="AA48" s="15">
        <f t="shared" si="88"/>
        <v>0.17575829348637195</v>
      </c>
      <c r="AC48" s="11"/>
      <c r="AD48" s="11"/>
      <c r="AE48" s="11"/>
      <c r="AF48" s="39">
        <f>AF24/AE24-1</f>
        <v>-0.27534562211981561</v>
      </c>
      <c r="AG48" s="39">
        <f t="shared" ref="AG48:BG48" si="89">AG24/AF24-1</f>
        <v>2.975244151714751E-2</v>
      </c>
      <c r="AH48" s="39">
        <f t="shared" si="89"/>
        <v>-9.4838994265549204E-3</v>
      </c>
      <c r="AI48" s="39">
        <f t="shared" si="89"/>
        <v>9.6192384769539174E-2</v>
      </c>
      <c r="AJ48" s="39">
        <f t="shared" si="89"/>
        <v>0.27462929108267309</v>
      </c>
      <c r="AK48" s="39">
        <f t="shared" si="89"/>
        <v>0.17529880478087656</v>
      </c>
      <c r="AL48" s="39">
        <f t="shared" si="89"/>
        <v>0.39850847457627125</v>
      </c>
      <c r="AM48" s="39">
        <f t="shared" si="89"/>
        <v>0.39170060112468486</v>
      </c>
      <c r="AN48" s="39">
        <f t="shared" si="89"/>
        <v>-3.4485160930751046E-2</v>
      </c>
      <c r="AO48" s="39">
        <f t="shared" si="89"/>
        <v>0.26120210693412216</v>
      </c>
      <c r="AP48" s="39">
        <f t="shared" si="89"/>
        <v>0.24623834315464266</v>
      </c>
      <c r="AQ48" s="39">
        <f t="shared" si="89"/>
        <v>6.6014782169581787E-2</v>
      </c>
      <c r="AR48" s="39">
        <f t="shared" si="89"/>
        <v>-7.4846044528659395E-2</v>
      </c>
      <c r="AS48" s="39">
        <f t="shared" si="89"/>
        <v>0.12083973374295964</v>
      </c>
      <c r="AT48" s="39">
        <f t="shared" si="89"/>
        <v>5.7809709705552548E-2</v>
      </c>
      <c r="AU48" s="39">
        <f t="shared" si="89"/>
        <v>-0.10364728514781518</v>
      </c>
      <c r="AV48" s="39">
        <f t="shared" si="89"/>
        <v>0.13223249091148004</v>
      </c>
      <c r="AW48" s="39">
        <f t="shared" si="89"/>
        <v>-1.4158607350096664E-2</v>
      </c>
      <c r="AX48" s="39">
        <f t="shared" si="89"/>
        <v>1.00455187568671E-2</v>
      </c>
      <c r="AY48" s="39">
        <f t="shared" si="89"/>
        <v>0.11196581196581201</v>
      </c>
      <c r="AZ48" s="39">
        <f t="shared" si="89"/>
        <v>0.22947383131856625</v>
      </c>
      <c r="BA48" s="40">
        <f t="shared" si="89"/>
        <v>0.14171639670360903</v>
      </c>
      <c r="BB48" s="39">
        <f>BB24/BA24-1</f>
        <v>-0.28359495132099133</v>
      </c>
      <c r="BC48" s="39">
        <f t="shared" si="89"/>
        <v>4.0000000000000036E-2</v>
      </c>
      <c r="BD48" s="39">
        <f t="shared" si="89"/>
        <v>4.0000000000000036E-2</v>
      </c>
      <c r="BE48" s="39">
        <f t="shared" si="89"/>
        <v>4.0000000000000036E-2</v>
      </c>
      <c r="BF48" s="39">
        <f t="shared" si="89"/>
        <v>4.0000000000000036E-2</v>
      </c>
      <c r="BG48" s="39">
        <f t="shared" si="89"/>
        <v>4.0000000000000036E-2</v>
      </c>
      <c r="BH48" s="39">
        <f t="shared" ref="BH48:BS48" si="90">BH24/BG24-1</f>
        <v>4.0000000000000036E-2</v>
      </c>
      <c r="BI48" s="39">
        <f t="shared" si="90"/>
        <v>4.0000000000000036E-2</v>
      </c>
      <c r="BJ48" s="39">
        <f t="shared" si="90"/>
        <v>4.0000000000000036E-2</v>
      </c>
      <c r="BK48" s="39">
        <f t="shared" si="90"/>
        <v>4.0000000000000036E-2</v>
      </c>
      <c r="BL48" s="39">
        <f t="shared" si="90"/>
        <v>4.0000000000000036E-2</v>
      </c>
      <c r="BM48" s="39">
        <f t="shared" si="90"/>
        <v>4.0000000000000036E-2</v>
      </c>
      <c r="BN48" s="39">
        <f t="shared" si="90"/>
        <v>4.0000000000000036E-2</v>
      </c>
      <c r="BO48" s="39">
        <f t="shared" si="90"/>
        <v>4.0000000000000036E-2</v>
      </c>
      <c r="BP48" s="39">
        <f t="shared" si="90"/>
        <v>4.0000000000000036E-2</v>
      </c>
      <c r="BQ48" s="39">
        <f t="shared" si="90"/>
        <v>4.0000000000000036E-2</v>
      </c>
      <c r="BR48" s="39">
        <f t="shared" si="90"/>
        <v>4.0000000000000036E-2</v>
      </c>
      <c r="BS48" s="39">
        <f t="shared" si="90"/>
        <v>4.0000000000000036E-2</v>
      </c>
    </row>
    <row r="49" spans="1:71" x14ac:dyDescent="0.35">
      <c r="B49" s="10" t="s">
        <v>108</v>
      </c>
      <c r="C49" s="11"/>
      <c r="D49" s="11"/>
      <c r="E49" s="11"/>
      <c r="F49" s="11"/>
      <c r="G49" s="15">
        <f>G25/C25-1</f>
        <v>0.16924413553431794</v>
      </c>
      <c r="H49" s="15">
        <f t="shared" ref="H49:X49" si="91">H25/D25-1</f>
        <v>0.18453683442742519</v>
      </c>
      <c r="I49" s="15">
        <f t="shared" si="91"/>
        <v>5.9481122126133767E-2</v>
      </c>
      <c r="J49" s="15">
        <f t="shared" si="91"/>
        <v>0.10962821734985706</v>
      </c>
      <c r="K49" s="15">
        <f t="shared" si="91"/>
        <v>-0.11175508990934757</v>
      </c>
      <c r="L49" s="15">
        <f t="shared" si="91"/>
        <v>-0.10344827586206895</v>
      </c>
      <c r="M49" s="15">
        <f t="shared" si="91"/>
        <v>0.31037228747760293</v>
      </c>
      <c r="N49" s="15">
        <f t="shared" si="91"/>
        <v>0.45983676975945009</v>
      </c>
      <c r="O49" s="15">
        <f t="shared" si="91"/>
        <v>0.4112430985444202</v>
      </c>
      <c r="P49" s="15">
        <f t="shared" si="91"/>
        <v>0.78731684981684991</v>
      </c>
      <c r="Q49" s="15">
        <f t="shared" si="91"/>
        <v>0.11941659070191424</v>
      </c>
      <c r="R49" s="15">
        <f t="shared" si="91"/>
        <v>0.21406502868912747</v>
      </c>
      <c r="S49" s="15">
        <f t="shared" si="91"/>
        <v>-0.14072317723770011</v>
      </c>
      <c r="T49" s="15">
        <f t="shared" si="91"/>
        <v>-2.0622518252849997E-2</v>
      </c>
      <c r="U49" s="15">
        <f t="shared" si="91"/>
        <v>-1.9543973941368087E-2</v>
      </c>
      <c r="V49" s="15">
        <f t="shared" si="91"/>
        <v>-0.13063499757634511</v>
      </c>
      <c r="W49" s="15">
        <f t="shared" si="91"/>
        <v>0.29635761589403975</v>
      </c>
      <c r="X49" s="15">
        <f t="shared" si="91"/>
        <v>-0.12764844363065653</v>
      </c>
      <c r="Y49" s="23">
        <f t="shared" si="88"/>
        <v>-0.19836655592469543</v>
      </c>
      <c r="Z49" s="15">
        <f t="shared" si="88"/>
        <v>-8.6855574850303485E-2</v>
      </c>
      <c r="AA49" s="15">
        <f t="shared" si="88"/>
        <v>-9.933518310679057E-2</v>
      </c>
      <c r="AE49" s="16"/>
      <c r="AF49" s="16"/>
      <c r="AG49" s="16"/>
      <c r="AH49" s="16"/>
      <c r="AI49" s="16"/>
      <c r="AJ49" s="16"/>
      <c r="AK49" s="16"/>
      <c r="AL49" s="16"/>
      <c r="AM49" s="16"/>
      <c r="AN49" s="16"/>
      <c r="AO49" s="16"/>
      <c r="AP49" s="16">
        <f t="shared" ref="AP49:BA49" si="92">AP25/AO25-1</f>
        <v>2.8660750302541347</v>
      </c>
      <c r="AQ49" s="16">
        <f t="shared" si="92"/>
        <v>0.61440943238731216</v>
      </c>
      <c r="AR49" s="16">
        <f t="shared" si="92"/>
        <v>3.3446437227338865E-2</v>
      </c>
      <c r="AS49" s="16">
        <f t="shared" si="92"/>
        <v>-5.3064415259537201E-2</v>
      </c>
      <c r="AT49" s="16">
        <f t="shared" si="92"/>
        <v>-0.23300201433147305</v>
      </c>
      <c r="AU49" s="16">
        <f t="shared" si="92"/>
        <v>-0.11189563869634478</v>
      </c>
      <c r="AV49" s="16">
        <f t="shared" si="92"/>
        <v>-6.8159782819468662E-2</v>
      </c>
      <c r="AW49" s="16">
        <f t="shared" si="92"/>
        <v>-2.169389241494124E-2</v>
      </c>
      <c r="AX49" s="16">
        <f t="shared" si="92"/>
        <v>0.13161393246477004</v>
      </c>
      <c r="AY49" s="16">
        <f t="shared" si="92"/>
        <v>0.11484962406015042</v>
      </c>
      <c r="AZ49" s="16">
        <f t="shared" si="92"/>
        <v>0.34302815714044854</v>
      </c>
      <c r="BA49" s="24">
        <f t="shared" si="92"/>
        <v>-8.0660347749670458E-2</v>
      </c>
      <c r="BB49" s="16">
        <f>BB25/BA25-1</f>
        <v>-3.0182366993584453E-2</v>
      </c>
      <c r="BC49" s="16">
        <f t="shared" ref="BC49:BG49" si="93">BC25/BB25-1</f>
        <v>4.0000000000000036E-2</v>
      </c>
      <c r="BD49" s="16">
        <f t="shared" si="93"/>
        <v>4.0000000000000036E-2</v>
      </c>
      <c r="BE49" s="16">
        <f t="shared" si="93"/>
        <v>4.0000000000000036E-2</v>
      </c>
      <c r="BF49" s="16">
        <f t="shared" si="93"/>
        <v>4.0000000000000036E-2</v>
      </c>
      <c r="BG49" s="16">
        <f t="shared" si="93"/>
        <v>4.0000000000000036E-2</v>
      </c>
      <c r="BH49" s="16">
        <f t="shared" ref="BH49:BS49" si="94">BH25/BG25-1</f>
        <v>4.0000000000000036E-2</v>
      </c>
      <c r="BI49" s="16">
        <f t="shared" si="94"/>
        <v>4.0000000000000036E-2</v>
      </c>
      <c r="BJ49" s="16">
        <f t="shared" si="94"/>
        <v>4.0000000000000036E-2</v>
      </c>
      <c r="BK49" s="16">
        <f t="shared" si="94"/>
        <v>4.0000000000000036E-2</v>
      </c>
      <c r="BL49" s="16">
        <f t="shared" si="94"/>
        <v>4.0000000000000036E-2</v>
      </c>
      <c r="BM49" s="16">
        <f t="shared" si="94"/>
        <v>4.0000000000000036E-2</v>
      </c>
      <c r="BN49" s="16">
        <f t="shared" si="94"/>
        <v>4.0000000000000036E-2</v>
      </c>
      <c r="BO49" s="16">
        <f t="shared" si="94"/>
        <v>4.0000000000000036E-2</v>
      </c>
      <c r="BP49" s="16">
        <f t="shared" si="94"/>
        <v>4.0000000000000036E-2</v>
      </c>
      <c r="BQ49" s="16">
        <f t="shared" si="94"/>
        <v>4.0000000000000036E-2</v>
      </c>
      <c r="BR49" s="16">
        <f t="shared" si="94"/>
        <v>4.0000000000000036E-2</v>
      </c>
      <c r="BS49" s="16">
        <f t="shared" si="94"/>
        <v>4.0000000000000036E-2</v>
      </c>
    </row>
    <row r="50" spans="1:71" x14ac:dyDescent="0.35">
      <c r="B50" s="10" t="s">
        <v>109</v>
      </c>
      <c r="C50" s="11"/>
      <c r="D50" s="11"/>
      <c r="E50" s="11"/>
      <c r="F50" s="11"/>
      <c r="G50" s="15">
        <f>G26/C26-1</f>
        <v>0.33333333333333326</v>
      </c>
      <c r="H50" s="15">
        <f t="shared" ref="H50:X50" si="95">H26/D26-1</f>
        <v>0.29716742539200802</v>
      </c>
      <c r="I50" s="15">
        <f t="shared" si="95"/>
        <v>0.47727272727272729</v>
      </c>
      <c r="J50" s="15">
        <f t="shared" si="95"/>
        <v>0.53701084394153709</v>
      </c>
      <c r="K50" s="15">
        <f t="shared" si="95"/>
        <v>0.36973180076628354</v>
      </c>
      <c r="L50" s="15">
        <f>L26/H26-1</f>
        <v>0.22519009553519198</v>
      </c>
      <c r="M50" s="15">
        <f t="shared" si="95"/>
        <v>0.16742081447963808</v>
      </c>
      <c r="N50" s="15">
        <f t="shared" si="95"/>
        <v>0.2079754601226993</v>
      </c>
      <c r="O50" s="15">
        <f t="shared" si="95"/>
        <v>0.2958041958041957</v>
      </c>
      <c r="P50" s="15">
        <f t="shared" si="95"/>
        <v>0.2469764481222152</v>
      </c>
      <c r="Q50" s="15">
        <f t="shared" si="95"/>
        <v>0.36046511627906974</v>
      </c>
      <c r="R50" s="15">
        <f t="shared" si="95"/>
        <v>0.11541391569324522</v>
      </c>
      <c r="S50" s="15">
        <f t="shared" si="95"/>
        <v>0.13337445069771037</v>
      </c>
      <c r="T50" s="15">
        <f t="shared" si="95"/>
        <v>0.12378764675855036</v>
      </c>
      <c r="U50" s="15">
        <f t="shared" si="95"/>
        <v>-7.8746438746438718E-2</v>
      </c>
      <c r="V50" s="15">
        <f t="shared" si="95"/>
        <v>9.8463289698349499E-2</v>
      </c>
      <c r="W50" s="15">
        <f t="shared" si="95"/>
        <v>-8.2919529283722149E-2</v>
      </c>
      <c r="X50" s="15">
        <f t="shared" si="95"/>
        <v>-5.56438791732905E-3</v>
      </c>
      <c r="Y50" s="23">
        <f>Y26/U26-1</f>
        <v>2.474022761009409E-2</v>
      </c>
      <c r="Z50" s="15">
        <f>Z26/V26-1</f>
        <v>-0.10874280919978108</v>
      </c>
      <c r="AA50" s="15">
        <f t="shared" ref="AA50" si="96">AA26/W26-1</f>
        <v>-0.17589718216979733</v>
      </c>
      <c r="AE50" s="16"/>
      <c r="AF50" s="16">
        <f>AF26/AE26-1</f>
        <v>-0.52163164400494444</v>
      </c>
      <c r="AG50" s="16">
        <f t="shared" ref="AG50:BA50" si="97">AG26/AF26-1</f>
        <v>0.74160206718346244</v>
      </c>
      <c r="AH50" s="16">
        <f t="shared" si="97"/>
        <v>0.5370919881305638</v>
      </c>
      <c r="AI50" s="16">
        <f t="shared" si="97"/>
        <v>1.1785714285714284</v>
      </c>
      <c r="AJ50" s="16">
        <f t="shared" si="97"/>
        <v>1.510412051395658</v>
      </c>
      <c r="AK50" s="16">
        <f t="shared" si="97"/>
        <v>0.54888810448288039</v>
      </c>
      <c r="AL50" s="16">
        <f t="shared" si="97"/>
        <v>8.9904284412032798E-2</v>
      </c>
      <c r="AM50" s="16">
        <f t="shared" si="97"/>
        <v>0.13403031887088335</v>
      </c>
      <c r="AN50" s="16">
        <f t="shared" si="97"/>
        <v>-0.11809716972434769</v>
      </c>
      <c r="AO50" s="16">
        <f t="shared" si="97"/>
        <v>5.456826259669656E-2</v>
      </c>
      <c r="AP50" s="16">
        <f t="shared" si="97"/>
        <v>0.18229579698651865</v>
      </c>
      <c r="AQ50" s="16">
        <f t="shared" si="97"/>
        <v>-9.7845225119476797E-2</v>
      </c>
      <c r="AR50" s="16">
        <f t="shared" si="97"/>
        <v>-5.9758364312267664E-2</v>
      </c>
      <c r="AS50" s="16">
        <f t="shared" si="97"/>
        <v>-0.17179005634081246</v>
      </c>
      <c r="AT50" s="16">
        <f t="shared" si="97"/>
        <v>0.20145602100489324</v>
      </c>
      <c r="AU50" s="16">
        <f t="shared" si="97"/>
        <v>0.10579119896692157</v>
      </c>
      <c r="AV50" s="16">
        <f t="shared" si="97"/>
        <v>0.15549766439094492</v>
      </c>
      <c r="AW50" s="16">
        <f t="shared" si="97"/>
        <v>0.35403871569618284</v>
      </c>
      <c r="AX50" s="16">
        <f t="shared" si="97"/>
        <v>0.40563816960440957</v>
      </c>
      <c r="AY50" s="16">
        <f t="shared" si="97"/>
        <v>0.25071481088146386</v>
      </c>
      <c r="AZ50" s="16">
        <f t="shared" si="97"/>
        <v>0.2530045721750489</v>
      </c>
      <c r="BA50" s="24">
        <f t="shared" si="97"/>
        <v>7.4908124169208001E-2</v>
      </c>
      <c r="BB50" s="16">
        <f>BB26/BA26-1</f>
        <v>-5.1341337716784063E-2</v>
      </c>
      <c r="BC50" s="16">
        <f t="shared" ref="BC50:BG50" si="98">BC26/BB26-1</f>
        <v>9.000000000000008E-2</v>
      </c>
      <c r="BD50" s="16">
        <f t="shared" si="98"/>
        <v>9.000000000000008E-2</v>
      </c>
      <c r="BE50" s="16">
        <f t="shared" si="98"/>
        <v>9.000000000000008E-2</v>
      </c>
      <c r="BF50" s="16">
        <f t="shared" si="98"/>
        <v>9.000000000000008E-2</v>
      </c>
      <c r="BG50" s="16">
        <f t="shared" si="98"/>
        <v>9.000000000000008E-2</v>
      </c>
      <c r="BH50" s="16">
        <f t="shared" ref="BH50:BS50" si="99">BH26/BG26-1</f>
        <v>9.000000000000008E-2</v>
      </c>
      <c r="BI50" s="16">
        <f t="shared" si="99"/>
        <v>9.000000000000008E-2</v>
      </c>
      <c r="BJ50" s="16">
        <f t="shared" si="99"/>
        <v>9.000000000000008E-2</v>
      </c>
      <c r="BK50" s="16">
        <f t="shared" si="99"/>
        <v>9.000000000000008E-2</v>
      </c>
      <c r="BL50" s="16">
        <f t="shared" si="99"/>
        <v>9.000000000000008E-2</v>
      </c>
      <c r="BM50" s="16">
        <f t="shared" si="99"/>
        <v>9.000000000000008E-2</v>
      </c>
      <c r="BN50" s="16">
        <f t="shared" si="99"/>
        <v>9.000000000000008E-2</v>
      </c>
      <c r="BO50" s="16">
        <f t="shared" si="99"/>
        <v>9.000000000000008E-2</v>
      </c>
      <c r="BP50" s="16">
        <f t="shared" si="99"/>
        <v>9.000000000000008E-2</v>
      </c>
      <c r="BQ50" s="16">
        <f t="shared" si="99"/>
        <v>9.000000000000008E-2</v>
      </c>
      <c r="BR50" s="16">
        <f t="shared" si="99"/>
        <v>9.000000000000008E-2</v>
      </c>
      <c r="BS50" s="16">
        <f t="shared" si="99"/>
        <v>9.000000000000008E-2</v>
      </c>
    </row>
    <row r="51" spans="1:71" x14ac:dyDescent="0.35">
      <c r="B51" s="10" t="s">
        <v>106</v>
      </c>
      <c r="C51" s="11"/>
      <c r="D51" s="11"/>
      <c r="E51" s="11"/>
      <c r="F51" s="11"/>
      <c r="G51" s="15">
        <f>G28/C28-1</f>
        <v>-7.2368753473801228E-2</v>
      </c>
      <c r="H51" s="15">
        <f t="shared" ref="H51:X51" si="100">H28/D28-1</f>
        <v>-0.10360559801335978</v>
      </c>
      <c r="I51" s="15">
        <f t="shared" si="100"/>
        <v>-3.1177802685454226E-2</v>
      </c>
      <c r="J51" s="15">
        <f t="shared" si="100"/>
        <v>-3.8225357896112144E-2</v>
      </c>
      <c r="K51" s="15">
        <f t="shared" si="100"/>
        <v>7.719752161775717E-2</v>
      </c>
      <c r="L51" s="15">
        <f t="shared" si="100"/>
        <v>-3.4360571244496985E-2</v>
      </c>
      <c r="M51" s="15">
        <f t="shared" si="100"/>
        <v>9.8573924540775293E-2</v>
      </c>
      <c r="N51" s="15">
        <f t="shared" si="100"/>
        <v>-2.6781035921519925E-2</v>
      </c>
      <c r="O51" s="15">
        <f t="shared" si="100"/>
        <v>0.20952164239482207</v>
      </c>
      <c r="P51" s="15">
        <f t="shared" si="100"/>
        <v>0.61643500500389181</v>
      </c>
      <c r="Q51" s="15">
        <f t="shared" si="100"/>
        <v>0.37436867330052226</v>
      </c>
      <c r="R51" s="15">
        <f t="shared" si="100"/>
        <v>0.2977925781172106</v>
      </c>
      <c r="S51" s="15">
        <f t="shared" si="100"/>
        <v>9.1463032254018639E-2</v>
      </c>
      <c r="T51" s="15">
        <f t="shared" si="100"/>
        <v>6.5682484212264303E-2</v>
      </c>
      <c r="U51" s="15">
        <f t="shared" si="100"/>
        <v>-9.2731594420466523E-3</v>
      </c>
      <c r="V51" s="15">
        <f t="shared" si="100"/>
        <v>9.0269348370542124E-2</v>
      </c>
      <c r="W51" s="15">
        <f t="shared" si="100"/>
        <v>-7.6999683995824908E-2</v>
      </c>
      <c r="X51" s="15">
        <f t="shared" si="100"/>
        <v>-4.5547852356791485E-2</v>
      </c>
      <c r="Y51" s="23">
        <f>Y28/U28-1</f>
        <v>-4.3737668692289455E-2</v>
      </c>
      <c r="Z51" s="15">
        <f>Z28/V28-1</f>
        <v>2.3265839839126334E-2</v>
      </c>
      <c r="AA51" s="15">
        <f>AA28/W28-1</f>
        <v>-2.6866922078349287E-2</v>
      </c>
      <c r="AC51" s="16"/>
      <c r="AE51" s="16"/>
      <c r="AF51" s="16">
        <f>AF28/AE28-1</f>
        <v>-0.30428467683369642</v>
      </c>
      <c r="AG51" s="16">
        <f t="shared" ref="AG51:AZ51" si="101">AG28/AF28-1</f>
        <v>8.7265135699373664E-2</v>
      </c>
      <c r="AH51" s="16">
        <f t="shared" si="101"/>
        <v>6.1251920122887826E-2</v>
      </c>
      <c r="AI51" s="16">
        <f t="shared" si="101"/>
        <v>0.29907725710150168</v>
      </c>
      <c r="AJ51" s="16">
        <f t="shared" si="101"/>
        <v>0.6630919220055711</v>
      </c>
      <c r="AK51" s="16">
        <f t="shared" si="101"/>
        <v>0.35256678670128139</v>
      </c>
      <c r="AL51" s="16">
        <f t="shared" si="101"/>
        <v>0.23843724846758718</v>
      </c>
      <c r="AM51" s="16">
        <f t="shared" si="101"/>
        <v>0.59699030096990291</v>
      </c>
      <c r="AN51" s="16">
        <f t="shared" si="101"/>
        <v>0.14134552171054682</v>
      </c>
      <c r="AO51" s="16">
        <f t="shared" si="101"/>
        <v>0.58275275659663173</v>
      </c>
      <c r="AP51" s="16">
        <f t="shared" si="101"/>
        <v>0.71350339664494666</v>
      </c>
      <c r="AQ51" s="16">
        <f t="shared" si="101"/>
        <v>0.45250616934342003</v>
      </c>
      <c r="AR51" s="16">
        <f t="shared" si="101"/>
        <v>7.8270133270202935E-2</v>
      </c>
      <c r="AS51" s="16">
        <f t="shared" si="101"/>
        <v>6.3754770468619881E-2</v>
      </c>
      <c r="AT51" s="16">
        <f t="shared" si="101"/>
        <v>0.29790204696112466</v>
      </c>
      <c r="AU51" s="16">
        <f t="shared" si="101"/>
        <v>-0.10530574445993102</v>
      </c>
      <c r="AV51" s="16">
        <f t="shared" si="101"/>
        <v>4.1627677203841307E-2</v>
      </c>
      <c r="AW51" s="16">
        <f t="shared" si="101"/>
        <v>0.14630070161703146</v>
      </c>
      <c r="AX51" s="16">
        <f t="shared" si="101"/>
        <v>-6.3580044219697429E-2</v>
      </c>
      <c r="AY51" s="16">
        <f t="shared" si="101"/>
        <v>3.2092312151970948E-2</v>
      </c>
      <c r="AZ51" s="16">
        <f t="shared" si="101"/>
        <v>0.34720743656765429</v>
      </c>
      <c r="BA51" s="24">
        <f>BA28/AZ28-1</f>
        <v>6.3239764351428418E-2</v>
      </c>
      <c r="BB51" s="16">
        <f>BB28/BA28-1</f>
        <v>-4.0130115960819723E-2</v>
      </c>
      <c r="BC51" s="16">
        <f>BC28/BB28-1</f>
        <v>4.9858520030798381E-2</v>
      </c>
      <c r="BD51" s="16">
        <f>BD28/BC28-1</f>
        <v>5.0089156939999491E-2</v>
      </c>
      <c r="BE51" s="16">
        <f t="shared" ref="BE51:BG51" si="102">BE28/BD28-1</f>
        <v>5.0327020670674294E-2</v>
      </c>
      <c r="BF51" s="16">
        <f t="shared" si="102"/>
        <v>5.0572235730259374E-2</v>
      </c>
      <c r="BG51" s="16">
        <f t="shared" si="102"/>
        <v>5.0824920498652837E-2</v>
      </c>
      <c r="BH51" s="16">
        <f t="shared" ref="BH51:BS51" si="103">BH28/BG28-1</f>
        <v>5.108518650315963E-2</v>
      </c>
      <c r="BI51" s="16">
        <f t="shared" si="103"/>
        <v>5.1353137670663518E-2</v>
      </c>
      <c r="BJ51" s="16">
        <f t="shared" si="103"/>
        <v>5.1628869559775081E-2</v>
      </c>
      <c r="BK51" s="16">
        <f t="shared" si="103"/>
        <v>5.1912468576148507E-2</v>
      </c>
      <c r="BL51" s="16">
        <f t="shared" si="103"/>
        <v>5.2204011174604936E-2</v>
      </c>
      <c r="BM51" s="16">
        <f t="shared" si="103"/>
        <v>5.2503563052156865E-2</v>
      </c>
      <c r="BN51" s="16">
        <f t="shared" si="103"/>
        <v>5.2811178336485298E-2</v>
      </c>
      <c r="BO51" s="16">
        <f t="shared" si="103"/>
        <v>5.312689877487542E-2</v>
      </c>
      <c r="BP51" s="16">
        <f t="shared" si="103"/>
        <v>5.345075292905932E-2</v>
      </c>
      <c r="BQ51" s="16">
        <f t="shared" si="103"/>
        <v>5.3782755381841962E-2</v>
      </c>
      <c r="BR51" s="16">
        <f t="shared" si="103"/>
        <v>5.4122905961774048E-2</v>
      </c>
      <c r="BS51" s="16">
        <f t="shared" si="103"/>
        <v>5.4471188992509578E-2</v>
      </c>
    </row>
    <row r="52" spans="1:71" x14ac:dyDescent="0.35">
      <c r="B52" s="10" t="s">
        <v>67</v>
      </c>
      <c r="C52" s="11"/>
      <c r="D52" s="11"/>
      <c r="E52" s="11"/>
      <c r="F52" s="11"/>
      <c r="G52" s="15">
        <f>G29/C29-1</f>
        <v>0.19125862635557023</v>
      </c>
      <c r="H52" s="15">
        <f t="shared" ref="H52:M52" si="104">H29/D29-1</f>
        <v>0.24591947769314482</v>
      </c>
      <c r="I52" s="15">
        <f t="shared" si="104"/>
        <v>0.19972769166317561</v>
      </c>
      <c r="J52" s="15">
        <f t="shared" si="104"/>
        <v>0.34195001608924169</v>
      </c>
      <c r="K52" s="15">
        <f t="shared" si="104"/>
        <v>0.16919540229885066</v>
      </c>
      <c r="L52" s="15">
        <f t="shared" si="104"/>
        <v>0.16576419213973792</v>
      </c>
      <c r="M52" s="15">
        <f t="shared" si="104"/>
        <v>0.14849410737669144</v>
      </c>
      <c r="N52" s="15">
        <f>N29/J29-1</f>
        <v>0.16289665094716654</v>
      </c>
      <c r="O52" s="15">
        <f>+O29/K29-1</f>
        <v>0.23955957530475813</v>
      </c>
      <c r="P52" s="15">
        <f t="shared" ref="P52:W52" si="105">+P29/L29-1</f>
        <v>0.26618219958046141</v>
      </c>
      <c r="Q52" s="15">
        <f t="shared" si="105"/>
        <v>0.32912739434478566</v>
      </c>
      <c r="R52" s="15">
        <f t="shared" si="105"/>
        <v>0.25623754209911342</v>
      </c>
      <c r="S52" s="15">
        <f t="shared" si="105"/>
        <v>0.23824630416851722</v>
      </c>
      <c r="T52" s="15">
        <f t="shared" si="105"/>
        <v>0.17277084196201398</v>
      </c>
      <c r="U52" s="15">
        <f t="shared" si="105"/>
        <v>0.12112547180601618</v>
      </c>
      <c r="V52" s="15">
        <f t="shared" si="105"/>
        <v>4.984406631285232E-2</v>
      </c>
      <c r="W52" s="15">
        <f t="shared" si="105"/>
        <v>6.4050010248001721E-2</v>
      </c>
      <c r="X52" s="15">
        <f>+X29/T29-1</f>
        <v>5.4790373845921003E-2</v>
      </c>
      <c r="Y52" s="23">
        <f>+Y29/U29-1</f>
        <v>8.2075086716996593E-2</v>
      </c>
      <c r="Z52" s="15">
        <f t="shared" ref="Z52:AA52" si="106">+Z29/V29-1</f>
        <v>6.5959576514924567E-2</v>
      </c>
      <c r="AA52" s="15">
        <f t="shared" si="106"/>
        <v>6.5004793381463255E-2</v>
      </c>
      <c r="AE52" s="16"/>
      <c r="AF52" s="16">
        <f>AF29/AE29-1</f>
        <v>-0.47814207650273222</v>
      </c>
      <c r="AG52" s="16">
        <f t="shared" ref="AG52:BA52" si="107">AG29/AF29-1</f>
        <v>-6.8062827225130906E-2</v>
      </c>
      <c r="AH52" s="16">
        <f t="shared" si="107"/>
        <v>0.27340823970037453</v>
      </c>
      <c r="AI52" s="16">
        <f t="shared" si="107"/>
        <v>0.61617647058823533</v>
      </c>
      <c r="AJ52" s="16">
        <f t="shared" si="107"/>
        <v>0.81073703366696992</v>
      </c>
      <c r="AK52" s="16">
        <f t="shared" si="107"/>
        <v>0.58994974874371864</v>
      </c>
      <c r="AL52" s="16">
        <f t="shared" si="107"/>
        <v>0.26548672566371678</v>
      </c>
      <c r="AM52" s="16">
        <f t="shared" si="107"/>
        <v>0.38561438561438566</v>
      </c>
      <c r="AN52" s="16">
        <f t="shared" si="107"/>
        <v>0.16204037490987733</v>
      </c>
      <c r="AO52" s="16">
        <f t="shared" si="107"/>
        <v>0.16658911121451836</v>
      </c>
      <c r="AP52" s="16">
        <f t="shared" si="107"/>
        <v>0.24624385055178832</v>
      </c>
      <c r="AQ52" s="16">
        <f t="shared" si="107"/>
        <v>0.37522671503254035</v>
      </c>
      <c r="AR52" s="16">
        <f t="shared" si="107"/>
        <v>0.24522885958107055</v>
      </c>
      <c r="AS52" s="16">
        <f t="shared" si="107"/>
        <v>0.12535044545511176</v>
      </c>
      <c r="AT52" s="16">
        <f t="shared" si="107"/>
        <v>0.10219786303493339</v>
      </c>
      <c r="AU52" s="16">
        <f t="shared" si="107"/>
        <v>0.22296448842232164</v>
      </c>
      <c r="AV52" s="16">
        <f t="shared" si="107"/>
        <v>0.23131263348118947</v>
      </c>
      <c r="AW52" s="16">
        <f t="shared" si="107"/>
        <v>0.24049366244162784</v>
      </c>
      <c r="AX52" s="16">
        <f t="shared" si="107"/>
        <v>0.24471632159182577</v>
      </c>
      <c r="AY52" s="16">
        <f t="shared" si="107"/>
        <v>0.16152167807997242</v>
      </c>
      <c r="AZ52" s="16">
        <f t="shared" si="107"/>
        <v>0.27259708376729663</v>
      </c>
      <c r="BA52" s="24">
        <f t="shared" si="107"/>
        <v>0.14181951041286078</v>
      </c>
      <c r="BB52" s="16">
        <f>BB29/BA29-1</f>
        <v>6.6692679468166371E-2</v>
      </c>
      <c r="BC52" s="16">
        <f>BC29/BB29-1</f>
        <v>0.1100000000000001</v>
      </c>
      <c r="BD52" s="16">
        <f>BD29/BC29-1</f>
        <v>0.1100000000000001</v>
      </c>
      <c r="BE52" s="16">
        <f t="shared" ref="BE52:BS52" si="108">BE29/BD29-1</f>
        <v>0.1100000000000001</v>
      </c>
      <c r="BF52" s="16">
        <f t="shared" si="108"/>
        <v>0.1100000000000001</v>
      </c>
      <c r="BG52" s="16">
        <f t="shared" si="108"/>
        <v>0.1100000000000001</v>
      </c>
      <c r="BH52" s="16">
        <f>BH29/BG29-1</f>
        <v>0.1100000000000001</v>
      </c>
      <c r="BI52" s="16">
        <f t="shared" si="108"/>
        <v>0.1100000000000001</v>
      </c>
      <c r="BJ52" s="16">
        <f t="shared" si="108"/>
        <v>0.1100000000000001</v>
      </c>
      <c r="BK52" s="16">
        <f t="shared" si="108"/>
        <v>0.1100000000000001</v>
      </c>
      <c r="BL52" s="16">
        <f t="shared" si="108"/>
        <v>0.1100000000000001</v>
      </c>
      <c r="BM52" s="16">
        <f t="shared" si="108"/>
        <v>0.1100000000000001</v>
      </c>
      <c r="BN52" s="16">
        <f t="shared" si="108"/>
        <v>0.1100000000000001</v>
      </c>
      <c r="BO52" s="16">
        <f t="shared" si="108"/>
        <v>0.1100000000000001</v>
      </c>
      <c r="BP52" s="16">
        <f t="shared" si="108"/>
        <v>0.1100000000000001</v>
      </c>
      <c r="BQ52" s="16">
        <f t="shared" si="108"/>
        <v>0.1100000000000001</v>
      </c>
      <c r="BR52" s="16">
        <f t="shared" si="108"/>
        <v>0.1100000000000001</v>
      </c>
      <c r="BS52" s="16">
        <f t="shared" si="108"/>
        <v>0.1100000000000001</v>
      </c>
    </row>
    <row r="53" spans="1:71" x14ac:dyDescent="0.35">
      <c r="B53" s="10" t="s">
        <v>177</v>
      </c>
      <c r="C53" s="11"/>
      <c r="D53" s="11"/>
      <c r="E53" s="11"/>
      <c r="F53" s="11"/>
      <c r="G53" s="15">
        <f>G35/G30</f>
        <v>4.6281579883762303E-2</v>
      </c>
      <c r="H53" s="15">
        <f t="shared" ref="H53:X53" si="109">H35/H30</f>
        <v>6.8051366026027751E-2</v>
      </c>
      <c r="I53" s="15">
        <f t="shared" si="109"/>
        <v>7.9113159508632389E-2</v>
      </c>
      <c r="J53" s="15">
        <f t="shared" si="109"/>
        <v>6.4178638351030604E-2</v>
      </c>
      <c r="K53" s="15">
        <f t="shared" si="109"/>
        <v>4.8475805661137676E-2</v>
      </c>
      <c r="L53" s="15">
        <f t="shared" si="109"/>
        <v>7.828443057294257E-2</v>
      </c>
      <c r="M53" s="15">
        <f t="shared" si="109"/>
        <v>7.9718522241769285E-2</v>
      </c>
      <c r="N53" s="15">
        <f t="shared" si="109"/>
        <v>7.694210021948128E-2</v>
      </c>
      <c r="O53" s="15">
        <f t="shared" si="109"/>
        <v>4.6330279345650982E-2</v>
      </c>
      <c r="P53" s="15">
        <f t="shared" si="109"/>
        <v>5.8738167529916056E-2</v>
      </c>
      <c r="Q53" s="15">
        <f t="shared" si="109"/>
        <v>7.0204091657047427E-2</v>
      </c>
      <c r="R53" s="15">
        <f t="shared" si="109"/>
        <v>6.9241842610364687E-2</v>
      </c>
      <c r="S53" s="15">
        <f t="shared" si="109"/>
        <v>5.0877405300738233E-2</v>
      </c>
      <c r="T53" s="15">
        <f t="shared" si="109"/>
        <v>6.5657188675754027E-2</v>
      </c>
      <c r="U53" s="15">
        <f t="shared" si="109"/>
        <v>8.1932038717920902E-2</v>
      </c>
      <c r="V53" s="15">
        <f t="shared" si="109"/>
        <v>7.5000554655780621E-2</v>
      </c>
      <c r="W53" s="15">
        <f t="shared" si="109"/>
        <v>6.5802277344350166E-2</v>
      </c>
      <c r="X53" s="15">
        <f t="shared" si="109"/>
        <v>7.863047787759922E-2</v>
      </c>
      <c r="Y53" s="23">
        <f>Y35/Y30</f>
        <v>9.0981331833685827E-2</v>
      </c>
      <c r="Z53" s="16">
        <f>AVERAGE(X53:Y53)</f>
        <v>8.4805904855642517E-2</v>
      </c>
      <c r="AA53" s="16">
        <f>AVERAGE(Y53:Z53)</f>
        <v>8.7893618344664165E-2</v>
      </c>
      <c r="AE53" s="16"/>
      <c r="AF53" s="16">
        <f>AF35/AF30</f>
        <v>8.0179004288644412E-2</v>
      </c>
      <c r="AG53" s="16">
        <f t="shared" ref="AG53:BS53" si="110">AG35/AG30</f>
        <v>7.7673284569836298E-2</v>
      </c>
      <c r="AH53" s="16">
        <f t="shared" si="110"/>
        <v>7.5882068632189464E-2</v>
      </c>
      <c r="AI53" s="16">
        <f t="shared" si="110"/>
        <v>5.9065104481217538E-2</v>
      </c>
      <c r="AJ53" s="16">
        <f t="shared" si="110"/>
        <v>3.8331778048955566E-2</v>
      </c>
      <c r="AK53" s="16">
        <f t="shared" si="110"/>
        <v>3.6862542065752006E-2</v>
      </c>
      <c r="AL53" s="16">
        <f t="shared" si="110"/>
        <v>3.2575189535949345E-2</v>
      </c>
      <c r="AM53" s="16">
        <f t="shared" si="110"/>
        <v>2.9580432637166254E-2</v>
      </c>
      <c r="AN53" s="16">
        <f t="shared" si="110"/>
        <v>3.1068640018645847E-2</v>
      </c>
      <c r="AO53" s="16">
        <f t="shared" si="110"/>
        <v>2.7320812571866616E-2</v>
      </c>
      <c r="AP53" s="16">
        <f t="shared" si="110"/>
        <v>2.2439006364954873E-2</v>
      </c>
      <c r="AQ53" s="16">
        <f t="shared" si="110"/>
        <v>2.1602729572929181E-2</v>
      </c>
      <c r="AR53" s="16">
        <f t="shared" si="110"/>
        <v>2.6183371365045931E-2</v>
      </c>
      <c r="AS53" s="16">
        <f t="shared" si="110"/>
        <v>3.3047949889220163E-2</v>
      </c>
      <c r="AT53" s="16">
        <f t="shared" si="110"/>
        <v>3.4516398177267184E-2</v>
      </c>
      <c r="AU53" s="16">
        <f t="shared" si="110"/>
        <v>4.6582482760539605E-2</v>
      </c>
      <c r="AV53" s="16">
        <f t="shared" si="110"/>
        <v>5.0520428906706681E-2</v>
      </c>
      <c r="AW53" s="16">
        <f t="shared" si="110"/>
        <v>5.3600406634161032E-2</v>
      </c>
      <c r="AX53" s="16">
        <f t="shared" si="110"/>
        <v>6.233136285716482E-2</v>
      </c>
      <c r="AY53" s="16">
        <f t="shared" si="110"/>
        <v>6.8309564140393061E-2</v>
      </c>
      <c r="AZ53" s="16">
        <f t="shared" si="110"/>
        <v>5.9904269074427925E-2</v>
      </c>
      <c r="BA53" s="24">
        <f t="shared" si="110"/>
        <v>6.657148363798665E-2</v>
      </c>
      <c r="BB53" s="16">
        <f t="shared" si="110"/>
        <v>7.7400566408486221E-2</v>
      </c>
      <c r="BC53" s="16">
        <f t="shared" si="110"/>
        <v>7.0000000000000007E-2</v>
      </c>
      <c r="BD53" s="16">
        <f t="shared" si="110"/>
        <v>7.0000000000000007E-2</v>
      </c>
      <c r="BE53" s="16">
        <f t="shared" si="110"/>
        <v>7.0000000000000007E-2</v>
      </c>
      <c r="BF53" s="16">
        <f t="shared" si="110"/>
        <v>7.0000000000000007E-2</v>
      </c>
      <c r="BG53" s="16">
        <f t="shared" si="110"/>
        <v>7.0000000000000007E-2</v>
      </c>
      <c r="BH53" s="16">
        <f t="shared" si="110"/>
        <v>7.0000000000000007E-2</v>
      </c>
      <c r="BI53" s="16">
        <f t="shared" si="110"/>
        <v>7.0000000000000007E-2</v>
      </c>
      <c r="BJ53" s="16">
        <f t="shared" si="110"/>
        <v>7.0000000000000007E-2</v>
      </c>
      <c r="BK53" s="16">
        <f t="shared" si="110"/>
        <v>7.0000000000000007E-2</v>
      </c>
      <c r="BL53" s="16">
        <f t="shared" si="110"/>
        <v>7.0000000000000007E-2</v>
      </c>
      <c r="BM53" s="16">
        <f t="shared" si="110"/>
        <v>7.0000000000000007E-2</v>
      </c>
      <c r="BN53" s="16">
        <f t="shared" si="110"/>
        <v>7.0000000000000007E-2</v>
      </c>
      <c r="BO53" s="16">
        <f t="shared" si="110"/>
        <v>7.0000000000000007E-2</v>
      </c>
      <c r="BP53" s="16">
        <f t="shared" si="110"/>
        <v>7.0000000000000007E-2</v>
      </c>
      <c r="BQ53" s="16">
        <f t="shared" si="110"/>
        <v>7.0000000000000007E-2</v>
      </c>
      <c r="BR53" s="16">
        <f t="shared" si="110"/>
        <v>7.0000000000000007E-2</v>
      </c>
      <c r="BS53" s="16">
        <f t="shared" si="110"/>
        <v>7.0000000000000007E-2</v>
      </c>
    </row>
    <row r="54" spans="1:71" x14ac:dyDescent="0.35">
      <c r="B54" s="41" t="s">
        <v>178</v>
      </c>
      <c r="C54" s="11"/>
      <c r="D54" s="11"/>
      <c r="E54" s="11"/>
      <c r="F54" s="11"/>
      <c r="G54" s="15">
        <f>G36/G30</f>
        <v>5.6731111374688649E-2</v>
      </c>
      <c r="H54" s="15">
        <f t="shared" ref="H54:X54" si="111">H36/H30</f>
        <v>7.6842195983797296E-2</v>
      </c>
      <c r="I54" s="15">
        <f t="shared" si="111"/>
        <v>8.2253898046795143E-2</v>
      </c>
      <c r="J54" s="15">
        <f t="shared" si="111"/>
        <v>7.1486570893191756E-2</v>
      </c>
      <c r="K54" s="15">
        <f t="shared" si="111"/>
        <v>5.6600485738245894E-2</v>
      </c>
      <c r="L54" s="15">
        <f t="shared" si="111"/>
        <v>8.4921029616037591E-2</v>
      </c>
      <c r="M54" s="15">
        <f t="shared" si="111"/>
        <v>8.0941610119795587E-2</v>
      </c>
      <c r="N54" s="15">
        <f t="shared" si="111"/>
        <v>7.6292930229682532E-2</v>
      </c>
      <c r="O54" s="15">
        <f t="shared" si="111"/>
        <v>5.0529886305512431E-2</v>
      </c>
      <c r="P54" s="15">
        <f t="shared" si="111"/>
        <v>5.9318628326486871E-2</v>
      </c>
      <c r="Q54" s="15">
        <f t="shared" si="111"/>
        <v>6.645872731291598E-2</v>
      </c>
      <c r="R54" s="15">
        <f t="shared" si="111"/>
        <v>6.7370441458733207E-2</v>
      </c>
      <c r="S54" s="15">
        <f t="shared" si="111"/>
        <v>5.2031142845617009E-2</v>
      </c>
      <c r="T54" s="15">
        <f t="shared" si="111"/>
        <v>6.3662904253788108E-2</v>
      </c>
      <c r="U54" s="15">
        <f t="shared" si="111"/>
        <v>7.2469533142877809E-2</v>
      </c>
      <c r="V54" s="15">
        <f t="shared" si="111"/>
        <v>7.1439664544183878E-2</v>
      </c>
      <c r="W54" s="15">
        <f t="shared" si="111"/>
        <v>5.6395855028424126E-2</v>
      </c>
      <c r="X54" s="15">
        <f t="shared" si="111"/>
        <v>6.5386562065038595E-2</v>
      </c>
      <c r="Y54" s="24">
        <f>Y36/Y30</f>
        <v>7.3022237979387991E-2</v>
      </c>
      <c r="Z54" s="16">
        <f>AVERAGE(X54:Y54)</f>
        <v>6.9204400022213286E-2</v>
      </c>
      <c r="AA54" s="16">
        <f>AVERAGE(Y54:Z54)</f>
        <v>7.1113319000800645E-2</v>
      </c>
      <c r="AF54" s="16">
        <f>AF36/AF30</f>
        <v>0.21219466716390081</v>
      </c>
      <c r="AG54" s="16">
        <f t="shared" ref="AG54:AZ54" si="112">AG36/AG30</f>
        <v>0.19313827934517588</v>
      </c>
      <c r="AH54" s="16">
        <f t="shared" si="112"/>
        <v>0.19526341227646207</v>
      </c>
      <c r="AI54" s="16">
        <f>AI36/AI30</f>
        <v>0.17163908684623747</v>
      </c>
      <c r="AJ54" s="16">
        <f t="shared" si="112"/>
        <v>0.13344339961237528</v>
      </c>
      <c r="AK54" s="16">
        <f t="shared" si="112"/>
        <v>0.12596427646906549</v>
      </c>
      <c r="AL54" s="16">
        <f t="shared" si="112"/>
        <v>0.12342747646421728</v>
      </c>
      <c r="AM54" s="16">
        <f t="shared" si="112"/>
        <v>0.10031740951161612</v>
      </c>
      <c r="AN54" s="16">
        <f t="shared" si="112"/>
        <v>9.6702016082041722E-2</v>
      </c>
      <c r="AO54" s="16">
        <f t="shared" si="112"/>
        <v>8.4584131851284022E-2</v>
      </c>
      <c r="AP54" s="16">
        <f t="shared" si="112"/>
        <v>7.0199262810741903E-2</v>
      </c>
      <c r="AQ54" s="16">
        <f t="shared" si="112"/>
        <v>6.4150075395506934E-2</v>
      </c>
      <c r="AR54" s="16">
        <f t="shared" si="112"/>
        <v>6.3366684219764782E-2</v>
      </c>
      <c r="AS54" s="16">
        <f t="shared" si="112"/>
        <v>6.5609015563883044E-2</v>
      </c>
      <c r="AT54" s="16">
        <f t="shared" si="112"/>
        <v>6.1309714823609952E-2</v>
      </c>
      <c r="AU54" s="16">
        <f t="shared" si="112"/>
        <v>6.5822972653369755E-2</v>
      </c>
      <c r="AV54" s="16">
        <f t="shared" si="112"/>
        <v>6.6573893924984945E-2</v>
      </c>
      <c r="AW54" s="16">
        <f>AW36/AW30</f>
        <v>6.2896515371147807E-2</v>
      </c>
      <c r="AX54" s="16">
        <f t="shared" si="112"/>
        <v>7.0126146348213125E-2</v>
      </c>
      <c r="AY54" s="16">
        <f t="shared" si="112"/>
        <v>7.2549769593646979E-2</v>
      </c>
      <c r="AZ54" s="16">
        <f t="shared" si="112"/>
        <v>6.006555190163388E-2</v>
      </c>
      <c r="BA54" s="24">
        <f>BA36/BA30</f>
        <v>6.3637378020328261E-2</v>
      </c>
      <c r="BB54" s="16">
        <f>BB36/BB30</f>
        <v>6.538815518053806E-2</v>
      </c>
      <c r="BC54" s="16">
        <f t="shared" ref="BC54:BS54" si="113">BC36/BC30</f>
        <v>7.0000000000000007E-2</v>
      </c>
      <c r="BD54" s="16">
        <f t="shared" si="113"/>
        <v>7.0000000000000007E-2</v>
      </c>
      <c r="BE54" s="16">
        <f t="shared" si="113"/>
        <v>7.0000000000000007E-2</v>
      </c>
      <c r="BF54" s="16">
        <f t="shared" si="113"/>
        <v>7.0000000000000007E-2</v>
      </c>
      <c r="BG54" s="16">
        <f t="shared" si="113"/>
        <v>7.0000000000000007E-2</v>
      </c>
      <c r="BH54" s="16">
        <f t="shared" si="113"/>
        <v>7.0000000000000007E-2</v>
      </c>
      <c r="BI54" s="16">
        <f t="shared" si="113"/>
        <v>7.0000000000000007E-2</v>
      </c>
      <c r="BJ54" s="16">
        <f t="shared" si="113"/>
        <v>7.0000000000000007E-2</v>
      </c>
      <c r="BK54" s="16">
        <f t="shared" si="113"/>
        <v>7.0000000000000007E-2</v>
      </c>
      <c r="BL54" s="16">
        <f t="shared" si="113"/>
        <v>7.0000000000000007E-2</v>
      </c>
      <c r="BM54" s="16">
        <f t="shared" si="113"/>
        <v>7.0000000000000007E-2</v>
      </c>
      <c r="BN54" s="16">
        <f t="shared" si="113"/>
        <v>7.0000000000000007E-2</v>
      </c>
      <c r="BO54" s="16">
        <f t="shared" si="113"/>
        <v>7.0000000000000007E-2</v>
      </c>
      <c r="BP54" s="16">
        <f t="shared" si="113"/>
        <v>7.0000000000000007E-2</v>
      </c>
      <c r="BQ54" s="16">
        <f t="shared" si="113"/>
        <v>7.0000000000000007E-2</v>
      </c>
      <c r="BR54" s="16">
        <f t="shared" si="113"/>
        <v>7.0000000000000007E-2</v>
      </c>
      <c r="BS54" s="16">
        <f t="shared" si="113"/>
        <v>7.0000000000000007E-2</v>
      </c>
    </row>
    <row r="55" spans="1:71" x14ac:dyDescent="0.35">
      <c r="B55" t="s">
        <v>68</v>
      </c>
      <c r="C55" s="16">
        <f>C34/C30</f>
        <v>0.38408480853521798</v>
      </c>
      <c r="D55" s="16">
        <f>D34/D30</f>
        <v>0.38310679294044525</v>
      </c>
      <c r="E55" s="16">
        <f>E34/E30</f>
        <v>0.38338496198254013</v>
      </c>
      <c r="F55" s="16">
        <f t="shared" ref="F55:J55" si="114">F34/F30</f>
        <v>0.38289348171701115</v>
      </c>
      <c r="G55" s="16">
        <f t="shared" si="114"/>
        <v>0.37991934527339583</v>
      </c>
      <c r="H55" s="16">
        <f t="shared" si="114"/>
        <v>0.37612686374213566</v>
      </c>
      <c r="I55" s="16">
        <f t="shared" si="114"/>
        <v>0.37590365923916075</v>
      </c>
      <c r="J55" s="16">
        <f t="shared" si="114"/>
        <v>0.37965334166146159</v>
      </c>
      <c r="K55" s="16">
        <f>+K34/K30</f>
        <v>0.38354806739345887</v>
      </c>
      <c r="L55" s="16">
        <f t="shared" ref="L55:R55" si="115">+L34/L30</f>
        <v>0.38361943305952362</v>
      </c>
      <c r="M55" s="16">
        <f t="shared" si="115"/>
        <v>0.37999497361146017</v>
      </c>
      <c r="N55" s="16">
        <f t="shared" si="115"/>
        <v>0.38160375900336951</v>
      </c>
      <c r="O55" s="16">
        <f t="shared" si="115"/>
        <v>0.39777815665969724</v>
      </c>
      <c r="P55" s="16">
        <f t="shared" si="115"/>
        <v>0.42506474370423292</v>
      </c>
      <c r="Q55" s="16">
        <f t="shared" si="115"/>
        <v>0.43292727853230839</v>
      </c>
      <c r="R55" s="16">
        <f t="shared" si="115"/>
        <v>0.42195297504798462</v>
      </c>
      <c r="S55" s="16">
        <f>+S34/S30</f>
        <v>0.43763766186615033</v>
      </c>
      <c r="T55" s="16">
        <f>+T34/T30</f>
        <v>0.43749871502292398</v>
      </c>
      <c r="U55" s="16">
        <f>+U34/U30</f>
        <v>0.43256307332537758</v>
      </c>
      <c r="V55" s="16">
        <f t="shared" ref="V55:W55" si="116">+V34/V30</f>
        <v>0.4225922392563175</v>
      </c>
      <c r="W55" s="16">
        <f t="shared" si="116"/>
        <v>0.42962254809908323</v>
      </c>
      <c r="X55" s="16">
        <f>+X34/X30</f>
        <v>0.44261672782487665</v>
      </c>
      <c r="Y55" s="24">
        <f>Y34/Y30</f>
        <v>0.44516302553883397</v>
      </c>
      <c r="Z55" s="32">
        <f t="shared" ref="Z55:AA55" si="117">AVERAGE(X55:Y55)</f>
        <v>0.44388987668185531</v>
      </c>
      <c r="AA55" s="32">
        <f t="shared" si="117"/>
        <v>0.44452645111034461</v>
      </c>
      <c r="AC55" s="9"/>
      <c r="AD55" s="9"/>
      <c r="AE55" s="16">
        <f>AE34/AE30</f>
        <v>0.27132656895903795</v>
      </c>
      <c r="AF55" s="16">
        <f>AF34/AF30</f>
        <v>0.23028155882901361</v>
      </c>
      <c r="AG55" s="16">
        <f t="shared" ref="AG55:BA55" si="118">AG34/AG30</f>
        <v>0.27917102055033088</v>
      </c>
      <c r="AH55" s="16">
        <f t="shared" si="118"/>
        <v>0.27517319155791847</v>
      </c>
      <c r="AI55" s="16">
        <f t="shared" si="118"/>
        <v>0.27285904094697427</v>
      </c>
      <c r="AJ55" s="16">
        <f t="shared" si="118"/>
        <v>0.29021606489124974</v>
      </c>
      <c r="AK55" s="16">
        <f t="shared" si="118"/>
        <v>0.28982655966865128</v>
      </c>
      <c r="AL55" s="16">
        <f t="shared" si="118"/>
        <v>0.33966508372906773</v>
      </c>
      <c r="AM55" s="16">
        <f t="shared" si="118"/>
        <v>0.35200448107545812</v>
      </c>
      <c r="AN55" s="16">
        <f t="shared" si="118"/>
        <v>0.40139843841044165</v>
      </c>
      <c r="AO55" s="16">
        <f t="shared" si="118"/>
        <v>0.39377539287083174</v>
      </c>
      <c r="AP55" s="16">
        <f t="shared" si="118"/>
        <v>0.40478895878945764</v>
      </c>
      <c r="AQ55" s="16">
        <f t="shared" si="118"/>
        <v>0.43871239808827661</v>
      </c>
      <c r="AR55" s="16">
        <f t="shared" si="118"/>
        <v>0.37624480720847231</v>
      </c>
      <c r="AS55" s="16">
        <f t="shared" si="118"/>
        <v>0.38588035777783858</v>
      </c>
      <c r="AT55" s="16">
        <f t="shared" si="118"/>
        <v>0.40059902017414373</v>
      </c>
      <c r="AU55" s="16">
        <f>AU34/AU30</f>
        <v>0.39075955648097049</v>
      </c>
      <c r="AV55" s="16">
        <f>AV34/AV30</f>
        <v>0.38469860491899105</v>
      </c>
      <c r="AW55" s="16">
        <f>AW34/AW30</f>
        <v>0.38343718820007905</v>
      </c>
      <c r="AX55" s="16">
        <f t="shared" si="118"/>
        <v>0.37817768109034722</v>
      </c>
      <c r="AY55" s="16">
        <f t="shared" si="118"/>
        <v>0.38233247727810865</v>
      </c>
      <c r="AZ55" s="16">
        <f t="shared" si="118"/>
        <v>0.41779359625167778</v>
      </c>
      <c r="BA55" s="24">
        <f t="shared" si="118"/>
        <v>0.43309630561360085</v>
      </c>
      <c r="BB55" s="16">
        <f>BB34/BB30</f>
        <v>0.43782655728862491</v>
      </c>
      <c r="BC55" s="16">
        <f t="shared" ref="BC55:BS55" si="119">BC34/BC30</f>
        <v>0.4187486099455851</v>
      </c>
      <c r="BD55" s="16">
        <f t="shared" si="119"/>
        <v>0.42218645772260105</v>
      </c>
      <c r="BE55" s="16">
        <f t="shared" si="119"/>
        <v>0.42571229577047154</v>
      </c>
      <c r="BF55" s="16">
        <f t="shared" si="119"/>
        <v>0.42932340475723746</v>
      </c>
      <c r="BG55" s="16">
        <f t="shared" si="119"/>
        <v>0.43301667137847133</v>
      </c>
      <c r="BH55" s="16">
        <f t="shared" si="119"/>
        <v>0.43678859255746977</v>
      </c>
      <c r="BI55" s="16">
        <f t="shared" si="119"/>
        <v>0.44063528355006909</v>
      </c>
      <c r="BJ55" s="16">
        <f t="shared" si="119"/>
        <v>0.44455249003686131</v>
      </c>
      <c r="BK55" s="16">
        <f t="shared" si="119"/>
        <v>0.44853560421792971</v>
      </c>
      <c r="BL55" s="16">
        <f t="shared" si="119"/>
        <v>0.45257968485328781</v>
      </c>
      <c r="BM55" s="16">
        <f t="shared" si="119"/>
        <v>0.4566794811178726</v>
      </c>
      <c r="BN55" s="16">
        <f t="shared" si="119"/>
        <v>0.46082946006523817</v>
      </c>
      <c r="BO55" s="16">
        <f t="shared" si="119"/>
        <v>0.46502383742119929</v>
      </c>
      <c r="BP55" s="16">
        <f t="shared" si="119"/>
        <v>0.46925661135984009</v>
      </c>
      <c r="BQ55" s="16">
        <f t="shared" si="119"/>
        <v>0.47352159885165479</v>
      </c>
      <c r="BR55" s="16">
        <f t="shared" si="119"/>
        <v>0.47781247411919198</v>
      </c>
      <c r="BS55" s="16">
        <f t="shared" si="119"/>
        <v>0.4821228086911889</v>
      </c>
    </row>
    <row r="56" spans="1:71" x14ac:dyDescent="0.35">
      <c r="B56" s="9" t="s">
        <v>69</v>
      </c>
      <c r="C56" s="17"/>
      <c r="D56" s="17">
        <f t="shared" ref="D56:J56" si="120">(D29-D32)/D29</f>
        <v>0.58879216539717083</v>
      </c>
      <c r="E56" s="17">
        <f t="shared" si="120"/>
        <v>0.59279430247172182</v>
      </c>
      <c r="F56" s="17"/>
      <c r="G56" s="17">
        <f t="shared" si="120"/>
        <v>0.62841379310344825</v>
      </c>
      <c r="H56" s="17">
        <f t="shared" si="120"/>
        <v>0.63781659388646283</v>
      </c>
      <c r="I56" s="17">
        <f t="shared" si="120"/>
        <v>0.64129201222173726</v>
      </c>
      <c r="J56" s="17">
        <f t="shared" si="120"/>
        <v>0.64119574774198707</v>
      </c>
      <c r="K56" s="16">
        <f t="shared" ref="K56:W56" si="121">(K29-K32)/K29</f>
        <v>0.64396382225717652</v>
      </c>
      <c r="L56" s="16">
        <f t="shared" si="121"/>
        <v>0.65373089601438417</v>
      </c>
      <c r="M56" s="16">
        <f t="shared" si="121"/>
        <v>0.67224080267558528</v>
      </c>
      <c r="N56" s="16">
        <f t="shared" si="121"/>
        <v>0.66925561894288266</v>
      </c>
      <c r="O56" s="16">
        <f t="shared" si="121"/>
        <v>0.6839667533785927</v>
      </c>
      <c r="P56" s="16">
        <f t="shared" si="121"/>
        <v>0.70072776758771671</v>
      </c>
      <c r="Q56" s="16">
        <f t="shared" si="121"/>
        <v>0.69804414960539862</v>
      </c>
      <c r="R56" s="16">
        <f t="shared" si="121"/>
        <v>0.704765552333534</v>
      </c>
      <c r="S56" s="16">
        <f t="shared" si="121"/>
        <v>0.72366263578602175</v>
      </c>
      <c r="T56" s="16">
        <f t="shared" si="121"/>
        <v>0.72609858231168967</v>
      </c>
      <c r="U56" s="16">
        <f t="shared" si="121"/>
        <v>0.71490512140379514</v>
      </c>
      <c r="V56" s="16">
        <f t="shared" si="121"/>
        <v>0.70481550969355844</v>
      </c>
      <c r="W56" s="16">
        <f t="shared" si="121"/>
        <v>0.70832129442357705</v>
      </c>
      <c r="X56" s="16">
        <f>(X29-X32)/X29</f>
        <v>0.70990577318601422</v>
      </c>
      <c r="Y56" s="24">
        <f>(Y29-Y32)/Y29</f>
        <v>0.70546363079243857</v>
      </c>
      <c r="Z56" s="16">
        <f>AVERAGE(X56:Y56)</f>
        <v>0.70768470198922639</v>
      </c>
      <c r="AA56" s="16">
        <f>AVERAGE(Y56:Z56)</f>
        <v>0.70657416639083248</v>
      </c>
      <c r="AB56" s="16"/>
      <c r="AC56" s="16"/>
      <c r="AD56" s="16"/>
      <c r="AE56" s="16"/>
      <c r="AF56" s="16"/>
      <c r="AG56" s="16"/>
      <c r="AH56" s="16"/>
      <c r="AI56" s="16"/>
      <c r="AJ56" s="16"/>
      <c r="AK56" s="16"/>
      <c r="AL56" s="16"/>
      <c r="AM56" s="16"/>
      <c r="AN56" s="16"/>
      <c r="AO56" s="16"/>
      <c r="AP56" s="16"/>
      <c r="AQ56" s="16"/>
      <c r="AR56" s="16"/>
      <c r="AS56" s="16"/>
      <c r="AT56" s="16"/>
      <c r="AU56" s="16"/>
      <c r="AV56" s="16"/>
      <c r="AW56" s="16">
        <f>(AW29-AW32)/AW29</f>
        <v>0.58074751277225056</v>
      </c>
      <c r="AX56" s="16">
        <f t="shared" ref="AX56:BA56" si="122">(AX29-AX32)/AX29</f>
        <v>0.63738091637683347</v>
      </c>
      <c r="AY56" s="16">
        <f t="shared" si="122"/>
        <v>0.66015101919357233</v>
      </c>
      <c r="AZ56" s="16">
        <f>(AZ29-AZ32)/AZ29</f>
        <v>0.69725977347460721</v>
      </c>
      <c r="BA56" s="24">
        <f t="shared" si="122"/>
        <v>0.71745446633132381</v>
      </c>
      <c r="BB56" s="16">
        <f>(BB29-BB32)/BB29</f>
        <v>0.70783516858418583</v>
      </c>
      <c r="BC56" s="16">
        <f t="shared" ref="BC56:BS56" si="123">(BC29-BC32)/BC29</f>
        <v>0.69</v>
      </c>
      <c r="BD56" s="16">
        <f t="shared" si="123"/>
        <v>0.69000000000000006</v>
      </c>
      <c r="BE56" s="16">
        <f t="shared" si="123"/>
        <v>0.69000000000000006</v>
      </c>
      <c r="BF56" s="16">
        <f t="shared" si="123"/>
        <v>0.69</v>
      </c>
      <c r="BG56" s="16">
        <f t="shared" si="123"/>
        <v>0.69</v>
      </c>
      <c r="BH56" s="16">
        <f t="shared" si="123"/>
        <v>0.69</v>
      </c>
      <c r="BI56" s="16">
        <f t="shared" si="123"/>
        <v>0.69</v>
      </c>
      <c r="BJ56" s="16">
        <f t="shared" si="123"/>
        <v>0.69</v>
      </c>
      <c r="BK56" s="16">
        <f t="shared" si="123"/>
        <v>0.68999999999999984</v>
      </c>
      <c r="BL56" s="16">
        <f t="shared" si="123"/>
        <v>0.69</v>
      </c>
      <c r="BM56" s="16">
        <f t="shared" si="123"/>
        <v>0.69</v>
      </c>
      <c r="BN56" s="16">
        <f t="shared" si="123"/>
        <v>0.69</v>
      </c>
      <c r="BO56" s="16">
        <f t="shared" si="123"/>
        <v>0.69</v>
      </c>
      <c r="BP56" s="16">
        <f t="shared" si="123"/>
        <v>0.69</v>
      </c>
      <c r="BQ56" s="16">
        <f t="shared" si="123"/>
        <v>0.68999999999999984</v>
      </c>
      <c r="BR56" s="16">
        <f t="shared" si="123"/>
        <v>0.69</v>
      </c>
      <c r="BS56" s="16">
        <f t="shared" si="123"/>
        <v>0.69</v>
      </c>
    </row>
    <row r="57" spans="1:71" x14ac:dyDescent="0.35">
      <c r="B57" s="9" t="s">
        <v>70</v>
      </c>
      <c r="C57" s="17"/>
      <c r="D57" s="17">
        <f t="shared" ref="D57:J57" si="124">(D28-D31)/D28</f>
        <v>0.34671877105511384</v>
      </c>
      <c r="E57" s="17">
        <f>(E28-E31)/E28</f>
        <v>0.33764896950842921</v>
      </c>
      <c r="F57" s="17"/>
      <c r="G57" s="17">
        <f t="shared" si="124"/>
        <v>0.34311976577926057</v>
      </c>
      <c r="H57" s="17">
        <f t="shared" si="124"/>
        <v>0.3117792333297541</v>
      </c>
      <c r="I57" s="17">
        <f t="shared" si="124"/>
        <v>0.30412711904424611</v>
      </c>
      <c r="J57" s="17">
        <f t="shared" si="124"/>
        <v>0.31615206970831961</v>
      </c>
      <c r="K57" s="16">
        <f>(K28-K31)/K28</f>
        <v>0.3416894215210356</v>
      </c>
      <c r="L57" s="16">
        <f t="shared" ref="L57:W57" si="125">(L28-L31)/L28</f>
        <v>0.30343600578227509</v>
      </c>
      <c r="M57" s="16">
        <f t="shared" si="125"/>
        <v>0.29736293494379851</v>
      </c>
      <c r="N57" s="16">
        <f t="shared" si="125"/>
        <v>0.2981515085046561</v>
      </c>
      <c r="O57" s="16">
        <f t="shared" si="125"/>
        <v>0.35063441961579467</v>
      </c>
      <c r="P57" s="16">
        <f t="shared" si="125"/>
        <v>0.3609647372838215</v>
      </c>
      <c r="Q57" s="16">
        <f t="shared" si="125"/>
        <v>0.36043347720022517</v>
      </c>
      <c r="R57" s="16">
        <f t="shared" si="125"/>
        <v>0.34253184395310604</v>
      </c>
      <c r="S57" s="16">
        <f t="shared" si="125"/>
        <v>0.38418446983117716</v>
      </c>
      <c r="T57" s="16">
        <f t="shared" si="125"/>
        <v>0.36364692668190091</v>
      </c>
      <c r="U57" s="16">
        <f t="shared" si="125"/>
        <v>0.34519769552521506</v>
      </c>
      <c r="V57" s="16">
        <f t="shared" si="125"/>
        <v>0.34627526142224979</v>
      </c>
      <c r="W57" s="16">
        <f t="shared" si="125"/>
        <v>0.36957920073038136</v>
      </c>
      <c r="X57" s="16">
        <f>(X28-X31)/X28</f>
        <v>0.36702782399329087</v>
      </c>
      <c r="Y57" s="24">
        <f>(Y28-Y31)/Y28</f>
        <v>0.35402086359434837</v>
      </c>
      <c r="Z57" s="16">
        <f>AVERAGE(X57:Y57)</f>
        <v>0.36052434379381959</v>
      </c>
      <c r="AA57" s="16">
        <f>AVERAGE(Y57:Z57)</f>
        <v>0.35727260369408398</v>
      </c>
      <c r="AE57" s="16"/>
      <c r="AF57" s="16"/>
      <c r="AG57" s="16"/>
      <c r="AH57" s="16"/>
      <c r="AI57" s="16"/>
      <c r="AJ57" s="16"/>
      <c r="AK57" s="16"/>
      <c r="AL57" s="16"/>
      <c r="AM57" s="16"/>
      <c r="AN57" s="16"/>
      <c r="AO57" s="16"/>
      <c r="AP57" s="16"/>
      <c r="AQ57" s="16"/>
      <c r="AR57" s="16"/>
      <c r="AS57" s="16"/>
      <c r="AT57" s="16"/>
      <c r="AU57" s="16"/>
      <c r="AV57" s="16"/>
      <c r="AW57" s="16">
        <f>(AW28-AW31)/AW28</f>
        <v>0.35131017271951137</v>
      </c>
      <c r="AX57" s="16">
        <f t="shared" ref="AX57:AZ57" si="126">(AX28-AX31)/AX28</f>
        <v>0.32207795851002652</v>
      </c>
      <c r="AY57" s="16">
        <f t="shared" si="126"/>
        <v>0.31466339293399231</v>
      </c>
      <c r="AZ57" s="16">
        <f t="shared" si="126"/>
        <v>0.35349303276483562</v>
      </c>
      <c r="BA57" s="24">
        <f>(BA28-BA31)/BA28</f>
        <v>0.36283479707399452</v>
      </c>
      <c r="BB57" s="16">
        <f>(BB28-BB31)/BB28</f>
        <v>0.36368591612369494</v>
      </c>
      <c r="BC57" s="16">
        <f t="shared" ref="BC57:BS57" si="127">(BC28-BC31)/BC28</f>
        <v>0.34000000000000008</v>
      </c>
      <c r="BD57" s="16">
        <f t="shared" si="127"/>
        <v>0.33999999999999997</v>
      </c>
      <c r="BE57" s="16">
        <f t="shared" si="127"/>
        <v>0.34000000000000008</v>
      </c>
      <c r="BF57" s="16">
        <f t="shared" si="127"/>
        <v>0.34</v>
      </c>
      <c r="BG57" s="16">
        <f t="shared" si="127"/>
        <v>0.34</v>
      </c>
      <c r="BH57" s="16">
        <f t="shared" si="127"/>
        <v>0.33999999999999991</v>
      </c>
      <c r="BI57" s="16">
        <f t="shared" si="127"/>
        <v>0.34</v>
      </c>
      <c r="BJ57" s="16">
        <f t="shared" si="127"/>
        <v>0.33999999999999997</v>
      </c>
      <c r="BK57" s="16">
        <f t="shared" si="127"/>
        <v>0.34</v>
      </c>
      <c r="BL57" s="16">
        <f t="shared" si="127"/>
        <v>0.34</v>
      </c>
      <c r="BM57" s="16">
        <f t="shared" si="127"/>
        <v>0.34</v>
      </c>
      <c r="BN57" s="16">
        <f t="shared" si="127"/>
        <v>0.33999999999999997</v>
      </c>
      <c r="BO57" s="16">
        <f t="shared" si="127"/>
        <v>0.34</v>
      </c>
      <c r="BP57" s="16">
        <f t="shared" si="127"/>
        <v>0.34</v>
      </c>
      <c r="BQ57" s="16">
        <f t="shared" si="127"/>
        <v>0.34</v>
      </c>
      <c r="BR57" s="16">
        <f t="shared" si="127"/>
        <v>0.34</v>
      </c>
      <c r="BS57" s="16">
        <f t="shared" si="127"/>
        <v>0.34</v>
      </c>
    </row>
    <row r="58" spans="1:71" x14ac:dyDescent="0.35">
      <c r="B58" t="s">
        <v>71</v>
      </c>
      <c r="C58" s="16">
        <f>C38/C30</f>
        <v>0.29757738439060855</v>
      </c>
      <c r="D58" s="16">
        <f t="shared" ref="D58:I58" si="128">D38/D30</f>
        <v>0.25997350213455028</v>
      </c>
      <c r="E58" s="16">
        <f t="shared" si="128"/>
        <v>0.23677837228949591</v>
      </c>
      <c r="F58" s="16">
        <f t="shared" si="128"/>
        <v>0.25624801271860098</v>
      </c>
      <c r="G58" s="16">
        <f t="shared" si="128"/>
        <v>0.27690665401494485</v>
      </c>
      <c r="H58" s="16">
        <f t="shared" si="128"/>
        <v>0.2312333017323106</v>
      </c>
      <c r="I58" s="16">
        <f t="shared" si="128"/>
        <v>0.2145366016837332</v>
      </c>
      <c r="J58" s="16">
        <f>J38/J30</f>
        <v>0.24398813241723921</v>
      </c>
      <c r="K58" s="16">
        <f t="shared" ref="K58:R58" si="129">+K38/K30</f>
        <v>0.2784717759940753</v>
      </c>
      <c r="L58" s="16">
        <f t="shared" si="129"/>
        <v>0.22041397287054346</v>
      </c>
      <c r="M58" s="16">
        <f t="shared" si="129"/>
        <v>0.21933484124989527</v>
      </c>
      <c r="N58" s="16">
        <f t="shared" si="129"/>
        <v>0.2283687285542057</v>
      </c>
      <c r="O58" s="16">
        <f t="shared" si="129"/>
        <v>0.30091799100853384</v>
      </c>
      <c r="P58" s="16">
        <f t="shared" si="129"/>
        <v>0.30700794784782998</v>
      </c>
      <c r="Q58" s="16">
        <f t="shared" si="129"/>
        <v>0.29626445956234498</v>
      </c>
      <c r="R58" s="16">
        <f t="shared" si="129"/>
        <v>0.28534069097888676</v>
      </c>
      <c r="S58" s="16">
        <f>+S38/S30</f>
        <v>0.33472911371979508</v>
      </c>
      <c r="T58" s="16">
        <f>+T38/T30</f>
        <v>0.30817862209338187</v>
      </c>
      <c r="U58" s="16">
        <f>+U38/U30</f>
        <v>0.27816150146457891</v>
      </c>
      <c r="V58" s="16">
        <f t="shared" ref="V58:W58" si="130">+V38/V30</f>
        <v>0.27615202005635303</v>
      </c>
      <c r="W58" s="16">
        <f t="shared" si="130"/>
        <v>0.30742441572630896</v>
      </c>
      <c r="X58" s="16">
        <f>+X38/X30</f>
        <v>0.29859968788223878</v>
      </c>
      <c r="Y58" s="24">
        <f>+Y38/Y30</f>
        <v>0.28115945572576012</v>
      </c>
      <c r="Z58" s="16">
        <f>Z38/Z30</f>
        <v>0.28801331826381227</v>
      </c>
      <c r="AA58" s="16">
        <f>AA38/AA30</f>
        <v>0.28156616828494296</v>
      </c>
      <c r="AE58" s="16">
        <f>AE38/AE30</f>
        <v>7.7665038206188156E-2</v>
      </c>
      <c r="AF58" s="16">
        <f t="shared" ref="AF58:AY58" si="131">AF38/AF30</f>
        <v>-6.2092112623531606E-2</v>
      </c>
      <c r="AG58" s="16">
        <f t="shared" si="131"/>
        <v>8.3594566353187051E-3</v>
      </c>
      <c r="AH58" s="16">
        <f t="shared" si="131"/>
        <v>4.0277106492669565E-3</v>
      </c>
      <c r="AI58" s="16">
        <f t="shared" si="131"/>
        <v>4.2154849619519263E-2</v>
      </c>
      <c r="AJ58" s="16">
        <f t="shared" si="131"/>
        <v>0.11844088722991888</v>
      </c>
      <c r="AK58" s="16">
        <f t="shared" si="131"/>
        <v>0.1269997411338338</v>
      </c>
      <c r="AL58" s="16">
        <f t="shared" si="131"/>
        <v>0.1836624177289011</v>
      </c>
      <c r="AM58" s="16">
        <f t="shared" si="131"/>
        <v>0.22210663892667573</v>
      </c>
      <c r="AN58" s="16">
        <f t="shared" si="131"/>
        <v>0.2736277823097541</v>
      </c>
      <c r="AO58" s="16">
        <f t="shared" si="131"/>
        <v>0.28187044844768111</v>
      </c>
      <c r="AP58" s="16">
        <f t="shared" si="131"/>
        <v>0.31215068961376086</v>
      </c>
      <c r="AQ58" s="16">
        <f t="shared" si="131"/>
        <v>0.35295959311984054</v>
      </c>
      <c r="AR58" s="16">
        <f t="shared" si="131"/>
        <v>0.28669475162366159</v>
      </c>
      <c r="AS58" s="16">
        <f t="shared" si="131"/>
        <v>0.28722339232473537</v>
      </c>
      <c r="AT58" s="16">
        <f t="shared" si="131"/>
        <v>0.30477290717326661</v>
      </c>
      <c r="AU58" s="16">
        <f t="shared" si="131"/>
        <v>0.27835410106706115</v>
      </c>
      <c r="AV58" s="16">
        <f t="shared" si="131"/>
        <v>0.26760428208729942</v>
      </c>
      <c r="AW58" s="16">
        <f t="shared" si="131"/>
        <v>0.26694026619477024</v>
      </c>
      <c r="AX58" s="16">
        <f t="shared" si="131"/>
        <v>0.24572017188496928</v>
      </c>
      <c r="AY58" s="16">
        <f t="shared" si="131"/>
        <v>0.24147314354406862</v>
      </c>
      <c r="AZ58" s="16">
        <f>AZ38/AZ30</f>
        <v>0.29782377527561593</v>
      </c>
      <c r="BA58" s="24">
        <f>BA38/BA30</f>
        <v>0.30288744395528594</v>
      </c>
      <c r="BB58" s="16">
        <f>BB38/BB30</f>
        <v>0.29503783569960063</v>
      </c>
      <c r="BC58" s="16">
        <f t="shared" ref="BC58:BS58" si="132">BC38/BC30</f>
        <v>0.27874860994558509</v>
      </c>
      <c r="BD58" s="16">
        <f t="shared" si="132"/>
        <v>0.28218645772260104</v>
      </c>
      <c r="BE58" s="16">
        <f t="shared" si="132"/>
        <v>0.28571229577047152</v>
      </c>
      <c r="BF58" s="16">
        <f t="shared" si="132"/>
        <v>0.28932340475723745</v>
      </c>
      <c r="BG58" s="16">
        <f t="shared" si="132"/>
        <v>0.29301667137847132</v>
      </c>
      <c r="BH58" s="16">
        <f t="shared" si="132"/>
        <v>0.29678859255746975</v>
      </c>
      <c r="BI58" s="16">
        <f t="shared" si="132"/>
        <v>0.30063528355006902</v>
      </c>
      <c r="BJ58" s="16">
        <f t="shared" si="132"/>
        <v>0.3045524900368613</v>
      </c>
      <c r="BK58" s="16">
        <f>BK38/BK30</f>
        <v>0.30853560421792969</v>
      </c>
      <c r="BL58" s="16">
        <f t="shared" si="132"/>
        <v>0.3125796848532878</v>
      </c>
      <c r="BM58" s="16">
        <f t="shared" si="132"/>
        <v>0.31667948111787259</v>
      </c>
      <c r="BN58" s="16">
        <f t="shared" si="132"/>
        <v>0.32082946006523816</v>
      </c>
      <c r="BO58" s="16">
        <f t="shared" si="132"/>
        <v>0.32502383742119928</v>
      </c>
      <c r="BP58" s="16">
        <f t="shared" si="132"/>
        <v>0.32925661135984008</v>
      </c>
      <c r="BQ58" s="16">
        <f t="shared" si="132"/>
        <v>0.33352159885165478</v>
      </c>
      <c r="BR58" s="16">
        <f t="shared" si="132"/>
        <v>0.33781247411919196</v>
      </c>
      <c r="BS58" s="16">
        <f t="shared" si="132"/>
        <v>0.34212280869118883</v>
      </c>
    </row>
    <row r="59" spans="1:71" x14ac:dyDescent="0.35">
      <c r="A59" t="s">
        <v>25</v>
      </c>
      <c r="B59" t="s">
        <v>72</v>
      </c>
      <c r="C59" s="16">
        <f>C41/C40</f>
        <v>0.25767665556788755</v>
      </c>
      <c r="D59" s="16">
        <f t="shared" ref="D59:J59" si="133">D41/D40</f>
        <v>0.14510143493320138</v>
      </c>
      <c r="E59" s="16">
        <f t="shared" si="133"/>
        <v>0.13286660644384221</v>
      </c>
      <c r="F59" s="16">
        <f t="shared" si="133"/>
        <v>0.13982096096461846</v>
      </c>
      <c r="G59" s="16">
        <f t="shared" si="133"/>
        <v>0.16485401154521878</v>
      </c>
      <c r="H59" s="16">
        <f t="shared" si="133"/>
        <v>0.17120503183247679</v>
      </c>
      <c r="I59" s="16">
        <f t="shared" si="133"/>
        <v>0.1670394560257672</v>
      </c>
      <c r="J59" s="16">
        <f t="shared" si="133"/>
        <v>0.1614097731931495</v>
      </c>
      <c r="K59" s="16">
        <f>K41/K40</f>
        <v>0.14206343082027933</v>
      </c>
      <c r="L59" s="16">
        <f t="shared" ref="L59:W59" si="134">L41/L40</f>
        <v>0.14358583936048724</v>
      </c>
      <c r="M59" s="16">
        <f t="shared" si="134"/>
        <v>0.14341173783968944</v>
      </c>
      <c r="N59" s="16">
        <f t="shared" si="134"/>
        <v>0.14952016643178309</v>
      </c>
      <c r="O59" s="16">
        <f t="shared" si="134"/>
        <v>0.14366121683194855</v>
      </c>
      <c r="P59" s="16">
        <f t="shared" si="134"/>
        <v>0.1564028417407447</v>
      </c>
      <c r="Q59" s="16">
        <f t="shared" si="134"/>
        <v>0.10771882309491568</v>
      </c>
      <c r="R59" s="16">
        <f t="shared" si="134"/>
        <v>0.11600997935306263</v>
      </c>
      <c r="S59" s="16">
        <f t="shared" si="134"/>
        <v>0.16030164157028201</v>
      </c>
      <c r="T59" s="16">
        <f t="shared" si="134"/>
        <v>0.17017817445834302</v>
      </c>
      <c r="U59" s="16">
        <f t="shared" si="134"/>
        <v>0.15711436746726784</v>
      </c>
      <c r="V59" s="16">
        <f t="shared" si="134"/>
        <v>0.15963012531938192</v>
      </c>
      <c r="W59" s="16">
        <f t="shared" si="134"/>
        <v>0.15790360160570419</v>
      </c>
      <c r="X59" s="16">
        <f>X41/X40</f>
        <v>0.14875625396377987</v>
      </c>
      <c r="Y59" s="24">
        <f>Y41/Y40</f>
        <v>0.12545638499098227</v>
      </c>
      <c r="Z59" s="16">
        <f>AVERAGE(X59:Y59)</f>
        <v>0.13710631947738106</v>
      </c>
      <c r="AA59" s="16">
        <f>AVERAGE(Y59:Z59)</f>
        <v>0.13128135223418166</v>
      </c>
      <c r="AE59" s="16">
        <f>AE41/AE40</f>
        <v>0.37181044957472659</v>
      </c>
      <c r="AF59" s="16">
        <f t="shared" ref="AF59:BS59" si="135">AF41/AF40</f>
        <v>0</v>
      </c>
      <c r="AG59" s="16">
        <f t="shared" si="135"/>
        <v>0.1864406779661017</v>
      </c>
      <c r="AH59" s="16">
        <f t="shared" si="135"/>
        <v>0.20338983050847459</v>
      </c>
      <c r="AI59" s="16">
        <f t="shared" si="135"/>
        <v>0.26354679802955666</v>
      </c>
      <c r="AJ59" s="16">
        <f t="shared" si="135"/>
        <v>0.26446280991735538</v>
      </c>
      <c r="AK59" s="16">
        <f t="shared" si="135"/>
        <v>0.29418026969481903</v>
      </c>
      <c r="AL59" s="16">
        <f t="shared" si="135"/>
        <v>0.30191693290734822</v>
      </c>
      <c r="AM59" s="16">
        <f t="shared" si="135"/>
        <v>0.3160836034424947</v>
      </c>
      <c r="AN59" s="16">
        <f t="shared" si="135"/>
        <v>0.31750372948781702</v>
      </c>
      <c r="AO59" s="16">
        <f t="shared" si="135"/>
        <v>0.24417475728155341</v>
      </c>
      <c r="AP59" s="16">
        <f t="shared" si="135"/>
        <v>0.24215757930127174</v>
      </c>
      <c r="AQ59" s="16">
        <f t="shared" si="135"/>
        <v>0.25160052364471064</v>
      </c>
      <c r="AR59" s="16">
        <f t="shared" si="135"/>
        <v>0.26154919748778788</v>
      </c>
      <c r="AS59" s="16">
        <f t="shared" si="135"/>
        <v>0.26126058747639436</v>
      </c>
      <c r="AT59" s="16">
        <f t="shared" si="135"/>
        <v>0.26368337585327173</v>
      </c>
      <c r="AU59" s="16">
        <f t="shared" si="135"/>
        <v>0.25557257381216192</v>
      </c>
      <c r="AV59" s="16">
        <f t="shared" si="135"/>
        <v>0.24556476150353415</v>
      </c>
      <c r="AW59" s="16">
        <f t="shared" si="135"/>
        <v>0.18342180705869443</v>
      </c>
      <c r="AX59" s="16">
        <f t="shared" si="135"/>
        <v>0.15943836804235059</v>
      </c>
      <c r="AY59" s="16">
        <f t="shared" si="135"/>
        <v>0.14428164731484103</v>
      </c>
      <c r="AZ59" s="16">
        <f t="shared" si="135"/>
        <v>0.13302260844085087</v>
      </c>
      <c r="BA59" s="24">
        <f t="shared" si="135"/>
        <v>0.16204461684424407</v>
      </c>
      <c r="BB59" s="16">
        <f t="shared" si="135"/>
        <v>0.14422760108124702</v>
      </c>
      <c r="BC59" s="16">
        <f t="shared" si="135"/>
        <v>0.15</v>
      </c>
      <c r="BD59" s="16">
        <f t="shared" si="135"/>
        <v>0.15</v>
      </c>
      <c r="BE59" s="16">
        <f t="shared" si="135"/>
        <v>0.15</v>
      </c>
      <c r="BF59" s="16">
        <f t="shared" si="135"/>
        <v>0.15</v>
      </c>
      <c r="BG59" s="16">
        <f t="shared" si="135"/>
        <v>0.15</v>
      </c>
      <c r="BH59" s="16">
        <f t="shared" si="135"/>
        <v>0.15</v>
      </c>
      <c r="BI59" s="16">
        <f t="shared" si="135"/>
        <v>0.15</v>
      </c>
      <c r="BJ59" s="16">
        <f t="shared" si="135"/>
        <v>0.15</v>
      </c>
      <c r="BK59" s="16">
        <f t="shared" si="135"/>
        <v>0.15</v>
      </c>
      <c r="BL59" s="16">
        <f t="shared" si="135"/>
        <v>0.15</v>
      </c>
      <c r="BM59" s="16">
        <f t="shared" si="135"/>
        <v>0.15</v>
      </c>
      <c r="BN59" s="16">
        <f t="shared" si="135"/>
        <v>0.15</v>
      </c>
      <c r="BO59" s="16">
        <f t="shared" si="135"/>
        <v>0.15</v>
      </c>
      <c r="BP59" s="16">
        <f t="shared" si="135"/>
        <v>0.15</v>
      </c>
      <c r="BQ59" s="16">
        <f t="shared" si="135"/>
        <v>0.15</v>
      </c>
      <c r="BR59" s="16">
        <f t="shared" si="135"/>
        <v>0.15</v>
      </c>
      <c r="BS59" s="16">
        <f t="shared" si="135"/>
        <v>0.15</v>
      </c>
    </row>
    <row r="60" spans="1:71" x14ac:dyDescent="0.35">
      <c r="Y60" s="22"/>
      <c r="BA60" s="22"/>
    </row>
    <row r="61" spans="1:71" x14ac:dyDescent="0.35">
      <c r="A61" t="s">
        <v>25</v>
      </c>
      <c r="B61" s="9" t="s">
        <v>73</v>
      </c>
      <c r="C61" s="9"/>
      <c r="D61" s="9"/>
      <c r="E61" s="9"/>
      <c r="F61" s="9"/>
      <c r="G61" s="9"/>
      <c r="H61" s="9"/>
      <c r="I61" s="9"/>
      <c r="J61" s="9"/>
      <c r="K61" s="9"/>
      <c r="L61" s="9"/>
      <c r="M61" s="9"/>
      <c r="N61" s="9"/>
      <c r="O61" s="9"/>
      <c r="P61" s="9"/>
      <c r="Q61" s="9"/>
      <c r="R61" s="9"/>
      <c r="S61" s="9"/>
      <c r="T61" s="9"/>
      <c r="U61" s="9"/>
      <c r="V61" s="9"/>
      <c r="W61" s="9"/>
      <c r="X61" s="9"/>
      <c r="Y61" s="22"/>
      <c r="AV61" s="9"/>
      <c r="AW61" s="9"/>
      <c r="BB61" s="26"/>
    </row>
    <row r="62" spans="1:71" x14ac:dyDescent="0.35">
      <c r="B62" s="9"/>
      <c r="C62" s="9"/>
      <c r="D62" s="9"/>
      <c r="E62" s="9"/>
      <c r="F62" s="9"/>
      <c r="G62" s="9"/>
      <c r="H62" s="9"/>
      <c r="I62" s="9"/>
      <c r="J62" s="9"/>
      <c r="K62" s="9"/>
      <c r="L62" s="9"/>
      <c r="M62" s="9"/>
      <c r="N62" s="9"/>
      <c r="O62" s="9"/>
      <c r="P62" s="9"/>
      <c r="Q62" s="9"/>
      <c r="R62" s="9"/>
      <c r="S62" s="9"/>
      <c r="T62" s="9"/>
      <c r="U62" s="9"/>
      <c r="V62" s="9"/>
      <c r="W62" s="9"/>
      <c r="X62" s="9"/>
      <c r="Y62" s="22"/>
      <c r="BA62" s="26"/>
    </row>
    <row r="63" spans="1:71" x14ac:dyDescent="0.35">
      <c r="A63" t="s">
        <v>25</v>
      </c>
      <c r="B63" t="s">
        <v>74</v>
      </c>
      <c r="S63" s="9">
        <f t="shared" ref="S63:W63" si="136">S64-S76</f>
        <v>79798</v>
      </c>
      <c r="T63" s="9">
        <f t="shared" si="136"/>
        <v>72749</v>
      </c>
      <c r="U63" s="9">
        <f t="shared" si="136"/>
        <v>59617</v>
      </c>
      <c r="V63" s="9">
        <f t="shared" si="136"/>
        <v>49040</v>
      </c>
      <c r="W63" s="9">
        <f t="shared" si="136"/>
        <v>54340</v>
      </c>
      <c r="X63" s="9">
        <f>X64-X76</f>
        <v>56718</v>
      </c>
      <c r="Y63" s="21">
        <f>Y64-Y76</f>
        <v>57263</v>
      </c>
    </row>
    <row r="64" spans="1:71" x14ac:dyDescent="0.35">
      <c r="B64" s="9" t="s">
        <v>75</v>
      </c>
      <c r="C64" s="9">
        <f>27491+49662+207944</f>
        <v>285097</v>
      </c>
      <c r="D64" s="9">
        <f>45059+42881+179286</f>
        <v>267226</v>
      </c>
      <c r="E64" s="9">
        <f>31971+38999+172773</f>
        <v>243743</v>
      </c>
      <c r="F64" s="9">
        <f>25913+40388+170799</f>
        <v>237100</v>
      </c>
      <c r="G64" s="9">
        <f>44771+41656+158608</f>
        <v>245035</v>
      </c>
      <c r="H64" s="9">
        <f>37988+42104+145319</f>
        <v>225411</v>
      </c>
      <c r="I64" s="9">
        <f>50530+44084+115996</f>
        <v>210610</v>
      </c>
      <c r="J64" s="9">
        <f>48844+51713+105341</f>
        <v>205898</v>
      </c>
      <c r="K64" s="9">
        <f>39771+67391+99899</f>
        <v>207061</v>
      </c>
      <c r="L64" s="9">
        <f>40174+53877+98793</f>
        <v>192844</v>
      </c>
      <c r="M64" s="9">
        <f>3383+59642+100592</f>
        <v>163617</v>
      </c>
      <c r="N64" s="9">
        <f>38016+52927+100887</f>
        <v>191830</v>
      </c>
      <c r="O64" s="9">
        <f>36010+40816+118745</f>
        <v>195571</v>
      </c>
      <c r="P64" s="9">
        <f>38466+31368+134539</f>
        <v>204373</v>
      </c>
      <c r="Q64" s="9">
        <f>34050+27646+131948</f>
        <v>193644</v>
      </c>
      <c r="R64" s="9">
        <f>34940+27699+127877</f>
        <v>190516</v>
      </c>
      <c r="S64" s="9">
        <f>37119+26794+138683</f>
        <v>202596</v>
      </c>
      <c r="T64" s="9">
        <f>28098+23413+141219</f>
        <v>192730</v>
      </c>
      <c r="U64" s="9">
        <f>27502+20729+131077</f>
        <v>179308</v>
      </c>
      <c r="V64" s="9">
        <f>23646+24658+120805</f>
        <v>169109</v>
      </c>
      <c r="W64" s="9">
        <f>20535+30820+114095</f>
        <v>165450</v>
      </c>
      <c r="X64" s="9">
        <f>24687+31185+110461</f>
        <v>166333</v>
      </c>
      <c r="Y64" s="21">
        <f>28408+34074+104061</f>
        <v>166543</v>
      </c>
    </row>
    <row r="65" spans="1:25" x14ac:dyDescent="0.35">
      <c r="B65" s="9" t="s">
        <v>76</v>
      </c>
      <c r="C65" s="9">
        <v>23440</v>
      </c>
      <c r="D65" s="9"/>
      <c r="E65" s="9"/>
      <c r="F65" s="9"/>
      <c r="G65" s="9"/>
      <c r="H65" s="9"/>
      <c r="I65" s="9"/>
      <c r="J65" s="9"/>
      <c r="K65" s="9"/>
      <c r="L65" s="9"/>
      <c r="M65" s="9"/>
      <c r="N65" s="9"/>
      <c r="O65" s="9"/>
      <c r="P65" s="9"/>
      <c r="Q65" s="9"/>
      <c r="R65" s="9"/>
      <c r="S65" s="9">
        <f>30213</f>
        <v>30213</v>
      </c>
      <c r="T65" s="9">
        <v>20815</v>
      </c>
      <c r="U65" s="9">
        <v>21803</v>
      </c>
      <c r="V65" s="9">
        <v>28184</v>
      </c>
      <c r="W65" s="9">
        <v>23752</v>
      </c>
      <c r="X65" s="9">
        <v>17936</v>
      </c>
      <c r="Y65" s="21">
        <v>19549</v>
      </c>
    </row>
    <row r="66" spans="1:25" x14ac:dyDescent="0.35">
      <c r="B66" s="9" t="s">
        <v>77</v>
      </c>
      <c r="C66" s="9">
        <v>4421</v>
      </c>
      <c r="D66" s="9"/>
      <c r="E66" s="9"/>
      <c r="F66" s="9"/>
      <c r="G66" s="9"/>
      <c r="H66" s="9"/>
      <c r="I66" s="9"/>
      <c r="J66" s="9"/>
      <c r="K66" s="9"/>
      <c r="L66" s="9"/>
      <c r="M66" s="9"/>
      <c r="N66" s="9"/>
      <c r="O66" s="9"/>
      <c r="P66" s="9"/>
      <c r="Q66" s="9"/>
      <c r="R66" s="9"/>
      <c r="S66" s="9">
        <v>5876</v>
      </c>
      <c r="T66" s="9">
        <v>5460</v>
      </c>
      <c r="U66" s="9">
        <v>5433</v>
      </c>
      <c r="V66" s="9">
        <v>4946</v>
      </c>
      <c r="W66" s="9">
        <v>6820</v>
      </c>
      <c r="X66" s="9">
        <v>7482</v>
      </c>
      <c r="Y66" s="30">
        <v>7351</v>
      </c>
    </row>
    <row r="67" spans="1:25" x14ac:dyDescent="0.35">
      <c r="B67" s="9" t="s">
        <v>78</v>
      </c>
      <c r="C67" s="9">
        <v>27459</v>
      </c>
      <c r="D67" s="9"/>
      <c r="E67" s="9"/>
      <c r="F67" s="9"/>
      <c r="G67" s="9"/>
      <c r="H67" s="9"/>
      <c r="I67" s="9"/>
      <c r="J67" s="9"/>
      <c r="K67" s="9"/>
      <c r="L67" s="9"/>
      <c r="M67" s="9"/>
      <c r="N67" s="9"/>
      <c r="O67" s="9"/>
      <c r="P67" s="9"/>
      <c r="Q67" s="9"/>
      <c r="R67" s="9"/>
      <c r="S67" s="9">
        <v>35040</v>
      </c>
      <c r="T67" s="9">
        <v>24585</v>
      </c>
      <c r="U67" s="9">
        <v>20439</v>
      </c>
      <c r="V67" s="9">
        <v>32748</v>
      </c>
      <c r="W67" s="9">
        <v>30428</v>
      </c>
      <c r="X67" s="9">
        <v>17963</v>
      </c>
      <c r="Y67" s="30">
        <v>19637</v>
      </c>
    </row>
    <row r="68" spans="1:25" x14ac:dyDescent="0.35">
      <c r="B68" s="9" t="s">
        <v>79</v>
      </c>
      <c r="C68" s="9">
        <v>11337</v>
      </c>
      <c r="D68" s="9"/>
      <c r="E68" s="9"/>
      <c r="F68" s="9"/>
      <c r="G68" s="9"/>
      <c r="H68" s="9"/>
      <c r="I68" s="9"/>
      <c r="J68" s="9"/>
      <c r="K68" s="9"/>
      <c r="L68" s="9"/>
      <c r="M68" s="9"/>
      <c r="N68" s="9"/>
      <c r="O68" s="9"/>
      <c r="P68" s="9"/>
      <c r="Q68" s="9"/>
      <c r="R68" s="9"/>
      <c r="S68" s="9">
        <v>18112</v>
      </c>
      <c r="T68" s="9">
        <v>15809</v>
      </c>
      <c r="U68" s="9">
        <v>16386</v>
      </c>
      <c r="V68" s="9">
        <v>21223</v>
      </c>
      <c r="W68" s="9">
        <v>16422</v>
      </c>
      <c r="X68" s="9">
        <v>13660</v>
      </c>
      <c r="Y68" s="30">
        <v>13640</v>
      </c>
    </row>
    <row r="69" spans="1:25" x14ac:dyDescent="0.35">
      <c r="B69" s="9" t="s">
        <v>80</v>
      </c>
      <c r="C69" s="9">
        <v>33679</v>
      </c>
      <c r="D69" s="9"/>
      <c r="E69" s="9"/>
      <c r="F69" s="9"/>
      <c r="G69" s="9"/>
      <c r="H69" s="9"/>
      <c r="I69" s="9"/>
      <c r="J69" s="9"/>
      <c r="K69" s="9"/>
      <c r="L69" s="9"/>
      <c r="M69" s="9"/>
      <c r="N69" s="9"/>
      <c r="O69" s="9"/>
      <c r="P69" s="9"/>
      <c r="Q69" s="9"/>
      <c r="R69" s="9"/>
      <c r="S69" s="9">
        <v>39245</v>
      </c>
      <c r="T69" s="9">
        <v>39304</v>
      </c>
      <c r="U69" s="9">
        <v>40335</v>
      </c>
      <c r="V69" s="9">
        <v>42117</v>
      </c>
      <c r="W69" s="9">
        <v>42951</v>
      </c>
      <c r="X69" s="9">
        <v>43398</v>
      </c>
      <c r="Y69" s="30">
        <v>43550</v>
      </c>
    </row>
    <row r="70" spans="1:25" x14ac:dyDescent="0.35">
      <c r="B70" s="9" t="s">
        <v>81</v>
      </c>
      <c r="C70" s="9">
        <v>13323</v>
      </c>
      <c r="D70" s="9"/>
      <c r="E70" s="9"/>
      <c r="F70" s="9"/>
      <c r="G70" s="9"/>
      <c r="H70" s="9"/>
      <c r="I70" s="9"/>
      <c r="J70" s="9"/>
      <c r="K70" s="9"/>
      <c r="L70" s="9"/>
      <c r="M70" s="9"/>
      <c r="N70" s="9"/>
      <c r="O70" s="9"/>
      <c r="P70" s="9"/>
      <c r="Q70" s="9"/>
      <c r="R70" s="9"/>
      <c r="S70" s="9">
        <v>50109</v>
      </c>
      <c r="T70" s="9">
        <v>51959</v>
      </c>
      <c r="U70" s="9">
        <v>52605</v>
      </c>
      <c r="V70" s="9">
        <v>54428</v>
      </c>
      <c r="W70" s="9">
        <v>60924</v>
      </c>
      <c r="X70" s="9">
        <v>65388</v>
      </c>
      <c r="Y70" s="30">
        <v>64768</v>
      </c>
    </row>
    <row r="71" spans="1:25" x14ac:dyDescent="0.35">
      <c r="A71" t="s">
        <v>25</v>
      </c>
      <c r="B71" s="9" t="s">
        <v>82</v>
      </c>
      <c r="C71" s="9">
        <f>SUM(C64:C70)</f>
        <v>398756</v>
      </c>
      <c r="D71" s="9">
        <f t="shared" ref="D71:V71" si="137">SUM(D64:D70)</f>
        <v>267226</v>
      </c>
      <c r="E71" s="9">
        <f t="shared" si="137"/>
        <v>243743</v>
      </c>
      <c r="F71" s="9">
        <f t="shared" si="137"/>
        <v>237100</v>
      </c>
      <c r="G71" s="9">
        <f t="shared" si="137"/>
        <v>245035</v>
      </c>
      <c r="H71" s="9">
        <f t="shared" si="137"/>
        <v>225411</v>
      </c>
      <c r="I71" s="9">
        <f t="shared" si="137"/>
        <v>210610</v>
      </c>
      <c r="J71" s="9">
        <f t="shared" si="137"/>
        <v>205898</v>
      </c>
      <c r="K71" s="9">
        <f t="shared" si="137"/>
        <v>207061</v>
      </c>
      <c r="L71" s="9">
        <f t="shared" si="137"/>
        <v>192844</v>
      </c>
      <c r="M71" s="9">
        <f t="shared" si="137"/>
        <v>163617</v>
      </c>
      <c r="N71" s="9">
        <f t="shared" si="137"/>
        <v>191830</v>
      </c>
      <c r="O71" s="9">
        <f t="shared" si="137"/>
        <v>195571</v>
      </c>
      <c r="P71" s="9">
        <f t="shared" si="137"/>
        <v>204373</v>
      </c>
      <c r="Q71" s="9">
        <f t="shared" si="137"/>
        <v>193644</v>
      </c>
      <c r="R71" s="9">
        <f t="shared" si="137"/>
        <v>190516</v>
      </c>
      <c r="S71" s="9">
        <f t="shared" si="137"/>
        <v>381191</v>
      </c>
      <c r="T71" s="9">
        <f t="shared" si="137"/>
        <v>350662</v>
      </c>
      <c r="U71" s="9">
        <f>SUM(U64:U70)</f>
        <v>336309</v>
      </c>
      <c r="V71" s="9">
        <f t="shared" si="137"/>
        <v>352755</v>
      </c>
      <c r="W71" s="9">
        <f>SUM(W64:W70)</f>
        <v>346747</v>
      </c>
      <c r="X71" s="9">
        <f>SUM(X64:X70)</f>
        <v>332160</v>
      </c>
      <c r="Y71" s="30">
        <f>SUM(Y64:Y70)</f>
        <v>335038</v>
      </c>
    </row>
    <row r="72" spans="1:25" x14ac:dyDescent="0.35">
      <c r="Y72" s="22"/>
    </row>
    <row r="73" spans="1:25" x14ac:dyDescent="0.35">
      <c r="A73" t="s">
        <v>25</v>
      </c>
      <c r="B73" s="9" t="s">
        <v>83</v>
      </c>
      <c r="C73" s="26">
        <v>62985</v>
      </c>
      <c r="S73" s="26">
        <v>74362</v>
      </c>
      <c r="T73" s="9">
        <v>52682</v>
      </c>
      <c r="U73" s="26">
        <f>48343</f>
        <v>48343</v>
      </c>
      <c r="V73" s="9">
        <v>64115</v>
      </c>
      <c r="W73" s="9">
        <v>57918</v>
      </c>
      <c r="X73" s="9">
        <v>42945</v>
      </c>
      <c r="Y73" s="30">
        <v>46699</v>
      </c>
    </row>
    <row r="74" spans="1:25" x14ac:dyDescent="0.35">
      <c r="B74" s="9" t="s">
        <v>84</v>
      </c>
      <c r="C74" s="26">
        <f>26281+11980+6498</f>
        <v>44759</v>
      </c>
      <c r="S74" s="26">
        <v>49167</v>
      </c>
      <c r="T74" s="9">
        <v>50248</v>
      </c>
      <c r="U74" s="26">
        <v>48811</v>
      </c>
      <c r="V74" s="9">
        <v>60845</v>
      </c>
      <c r="W74" s="9">
        <v>59893</v>
      </c>
      <c r="X74" s="9">
        <v>56425</v>
      </c>
      <c r="Y74" s="30">
        <v>58897</v>
      </c>
    </row>
    <row r="75" spans="1:25" x14ac:dyDescent="0.35">
      <c r="B75" s="9" t="s">
        <v>85</v>
      </c>
      <c r="C75" s="26">
        <f>3131+8044</f>
        <v>11175</v>
      </c>
      <c r="S75" s="26">
        <v>7876</v>
      </c>
      <c r="T75" s="9">
        <v>7920</v>
      </c>
      <c r="U75" s="26">
        <v>7728</v>
      </c>
      <c r="V75" s="9">
        <v>7912</v>
      </c>
      <c r="W75" s="9">
        <v>7992</v>
      </c>
      <c r="X75" s="9">
        <v>8131</v>
      </c>
      <c r="Y75" s="30">
        <v>8158</v>
      </c>
    </row>
    <row r="76" spans="1:25" x14ac:dyDescent="0.35">
      <c r="B76" s="9" t="s">
        <v>86</v>
      </c>
      <c r="C76" s="26">
        <v>103922</v>
      </c>
      <c r="S76" s="26">
        <f>5000+11169+106629</f>
        <v>122798</v>
      </c>
      <c r="T76">
        <f>6999+9659+103323</f>
        <v>119981</v>
      </c>
      <c r="U76" s="26">
        <f>10982+14009+94700</f>
        <v>119691</v>
      </c>
      <c r="V76" s="26">
        <f>9982+11128+98959</f>
        <v>120069</v>
      </c>
      <c r="W76" s="9">
        <f>1743+9740+99627</f>
        <v>111110</v>
      </c>
      <c r="X76" s="9">
        <f>1996+10578+97041</f>
        <v>109615</v>
      </c>
      <c r="Y76" s="30">
        <f>3993+7216+98071</f>
        <v>109280</v>
      </c>
    </row>
    <row r="77" spans="1:25" x14ac:dyDescent="0.35">
      <c r="B77" s="9" t="s">
        <v>87</v>
      </c>
      <c r="C77" s="26">
        <v>43754</v>
      </c>
      <c r="S77" s="26">
        <v>55056</v>
      </c>
      <c r="T77" s="9">
        <v>52432</v>
      </c>
      <c r="U77" s="26">
        <f>53629</f>
        <v>53629</v>
      </c>
      <c r="V77" s="9">
        <v>49142</v>
      </c>
      <c r="W77" s="9">
        <v>53107</v>
      </c>
      <c r="X77" s="9">
        <v>52886</v>
      </c>
      <c r="Y77" s="30">
        <v>51730</v>
      </c>
    </row>
    <row r="78" spans="1:25" x14ac:dyDescent="0.35">
      <c r="B78" s="9" t="s">
        <v>88</v>
      </c>
      <c r="C78" s="26">
        <f>36447+104593-841</f>
        <v>140199</v>
      </c>
      <c r="S78" s="26">
        <v>71932</v>
      </c>
      <c r="T78" s="9">
        <v>67399</v>
      </c>
      <c r="U78" s="26">
        <v>58107</v>
      </c>
      <c r="V78" s="9">
        <v>50672</v>
      </c>
      <c r="W78" s="9">
        <v>56727</v>
      </c>
      <c r="X78" s="9">
        <v>62158</v>
      </c>
      <c r="Y78" s="30">
        <v>60274</v>
      </c>
    </row>
    <row r="79" spans="1:25" x14ac:dyDescent="0.35">
      <c r="A79" t="s">
        <v>25</v>
      </c>
      <c r="B79" s="9" t="s">
        <v>89</v>
      </c>
      <c r="C79" s="26">
        <f>C78+SUM(C73:C77)</f>
        <v>406794</v>
      </c>
      <c r="S79" s="26">
        <f t="shared" ref="S79:X79" si="138">SUM(S73:S78)</f>
        <v>381191</v>
      </c>
      <c r="T79" s="9">
        <f t="shared" si="138"/>
        <v>350662</v>
      </c>
      <c r="U79" s="26">
        <f t="shared" si="138"/>
        <v>336309</v>
      </c>
      <c r="V79" s="9">
        <f t="shared" si="138"/>
        <v>352755</v>
      </c>
      <c r="W79" s="9">
        <f t="shared" si="138"/>
        <v>346747</v>
      </c>
      <c r="X79" s="9">
        <f t="shared" si="138"/>
        <v>332160</v>
      </c>
      <c r="Y79" s="30">
        <f>SUM(Y73:Y78)</f>
        <v>335038</v>
      </c>
    </row>
    <row r="80" spans="1:25" x14ac:dyDescent="0.35">
      <c r="Y80" s="22"/>
    </row>
    <row r="81" spans="1:29" x14ac:dyDescent="0.35">
      <c r="A81" t="s">
        <v>25</v>
      </c>
      <c r="B81" s="9" t="s">
        <v>90</v>
      </c>
      <c r="C81" s="9">
        <f>C42</f>
        <v>20065</v>
      </c>
      <c r="D81" s="9">
        <f t="shared" ref="D81:X81" si="139">D42</f>
        <v>13822</v>
      </c>
      <c r="E81" s="9">
        <f t="shared" si="139"/>
        <v>11519</v>
      </c>
      <c r="F81" s="9">
        <f t="shared" si="139"/>
        <v>14125</v>
      </c>
      <c r="G81" s="9">
        <f t="shared" si="139"/>
        <v>19965</v>
      </c>
      <c r="H81" s="9">
        <f t="shared" si="139"/>
        <v>10805</v>
      </c>
      <c r="I81" s="9">
        <f t="shared" si="139"/>
        <v>9310</v>
      </c>
      <c r="J81" s="9">
        <f t="shared" si="139"/>
        <v>12682</v>
      </c>
      <c r="K81" s="9">
        <f t="shared" si="139"/>
        <v>22236</v>
      </c>
      <c r="L81" s="9">
        <f t="shared" si="139"/>
        <v>11249</v>
      </c>
      <c r="M81" s="9">
        <f t="shared" si="139"/>
        <v>11253</v>
      </c>
      <c r="N81" s="9">
        <f t="shared" si="139"/>
        <v>12673</v>
      </c>
      <c r="O81" s="9">
        <f t="shared" si="139"/>
        <v>28755</v>
      </c>
      <c r="P81" s="9">
        <f t="shared" si="139"/>
        <v>23630</v>
      </c>
      <c r="Q81" s="9">
        <f t="shared" si="139"/>
        <v>21744</v>
      </c>
      <c r="R81" s="9">
        <f t="shared" si="139"/>
        <v>20551</v>
      </c>
      <c r="S81" s="26">
        <f t="shared" si="139"/>
        <v>34630</v>
      </c>
      <c r="T81" s="26">
        <f t="shared" si="139"/>
        <v>25010</v>
      </c>
      <c r="U81" s="26">
        <f t="shared" si="139"/>
        <v>19442</v>
      </c>
      <c r="V81" s="26">
        <f t="shared" si="139"/>
        <v>20721</v>
      </c>
      <c r="W81" s="26">
        <f t="shared" si="139"/>
        <v>29998</v>
      </c>
      <c r="X81" s="26">
        <f t="shared" si="139"/>
        <v>24160</v>
      </c>
      <c r="Y81" s="30">
        <f>Y42</f>
        <v>19881</v>
      </c>
    </row>
    <row r="82" spans="1:29" x14ac:dyDescent="0.35">
      <c r="B82" s="9" t="s">
        <v>91</v>
      </c>
      <c r="C82" s="26">
        <v>20065</v>
      </c>
      <c r="S82" s="26">
        <v>34630</v>
      </c>
      <c r="T82" s="26">
        <f>59640-S82</f>
        <v>25010</v>
      </c>
      <c r="U82" s="26">
        <v>19442</v>
      </c>
      <c r="V82" s="26">
        <f>99803-U82-T82-S82</f>
        <v>20721</v>
      </c>
      <c r="W82" s="26">
        <v>29998</v>
      </c>
      <c r="X82" s="26">
        <f>54158-W82</f>
        <v>24160</v>
      </c>
      <c r="Y82" s="30">
        <v>19881</v>
      </c>
      <c r="AA82" s="26"/>
    </row>
    <row r="83" spans="1:29" x14ac:dyDescent="0.35">
      <c r="B83" s="9" t="s">
        <v>92</v>
      </c>
      <c r="C83">
        <v>2745</v>
      </c>
      <c r="S83" s="26">
        <v>2697</v>
      </c>
      <c r="T83" s="26">
        <f>5434-S83</f>
        <v>2737</v>
      </c>
      <c r="U83" s="26">
        <f>8239-T83-S83</f>
        <v>2805</v>
      </c>
      <c r="V83" s="26">
        <f>11104-U83-T83-S83</f>
        <v>2865</v>
      </c>
      <c r="W83" s="26">
        <v>2916</v>
      </c>
      <c r="X83" s="26">
        <f>5814-W83</f>
        <v>2898</v>
      </c>
      <c r="Y83" s="30">
        <f>8866-X83-W83</f>
        <v>3052</v>
      </c>
    </row>
    <row r="84" spans="1:29" x14ac:dyDescent="0.35">
      <c r="B84" s="9" t="s">
        <v>93</v>
      </c>
      <c r="C84">
        <v>1296</v>
      </c>
      <c r="S84" s="26">
        <v>2265</v>
      </c>
      <c r="T84" s="26">
        <f>4517-S84</f>
        <v>2252</v>
      </c>
      <c r="U84" s="26">
        <f>6760-T84-S84</f>
        <v>2243</v>
      </c>
      <c r="V84" s="26">
        <f>9038-U84-T84-S84</f>
        <v>2278</v>
      </c>
      <c r="W84" s="26">
        <v>2905</v>
      </c>
      <c r="X84" s="26">
        <f>5591-W84</f>
        <v>2686</v>
      </c>
      <c r="Y84" s="30">
        <f>8208-X84-W84</f>
        <v>2617</v>
      </c>
    </row>
    <row r="85" spans="1:29" x14ac:dyDescent="0.35">
      <c r="B85" s="9" t="s">
        <v>94</v>
      </c>
      <c r="C85">
        <v>-11</v>
      </c>
      <c r="S85" s="26">
        <v>849</v>
      </c>
      <c r="T85" s="26">
        <f>-20-S85</f>
        <v>-869</v>
      </c>
      <c r="U85" s="26">
        <f>-61-T85-S85</f>
        <v>-41</v>
      </c>
      <c r="V85" s="26">
        <f>111-U85-T85-S85</f>
        <v>172</v>
      </c>
      <c r="W85" s="26">
        <v>-317</v>
      </c>
      <c r="X85" s="26">
        <f>-1732-W85</f>
        <v>-1415</v>
      </c>
      <c r="Y85" s="30">
        <f>-1651-X85-W85</f>
        <v>81</v>
      </c>
    </row>
    <row r="86" spans="1:29" x14ac:dyDescent="0.35">
      <c r="B86" s="9" t="s">
        <v>95</v>
      </c>
      <c r="C86" s="29"/>
      <c r="D86" s="26">
        <f>(3523-2807+9715-1053-13220+478+39158)-37935</f>
        <v>-2141</v>
      </c>
      <c r="E86" s="26">
        <f>(3756-1114+5536-65-11139-103+37009)-D86-37935</f>
        <v>-1914</v>
      </c>
      <c r="F86" s="26">
        <f>(-5322+828-8010-423+9175-3+38449)-E86-D86-37935</f>
        <v>814</v>
      </c>
      <c r="G86" s="26">
        <f>5130-1076+6905-886-8501-370+570</f>
        <v>1772</v>
      </c>
      <c r="H86" s="26">
        <f>8094-1006+14616-717-20024-540-3273-G86</f>
        <v>-4622</v>
      </c>
      <c r="I86" s="26">
        <f>9013+496+13483+693-19804-776-8753-H86-G86</f>
        <v>-2798</v>
      </c>
      <c r="J86" s="26">
        <f>245-289+2931+873-1923-625-4700-I86-H86-G86</f>
        <v>2160</v>
      </c>
      <c r="K86" s="26">
        <f>2015-28+3902-7054-1089+985+5514</f>
        <v>4245</v>
      </c>
      <c r="L86" s="26">
        <f>7284+699+7923-8866-13520+1223+7500-K86</f>
        <v>-2002</v>
      </c>
      <c r="M86" s="26">
        <f>5149+10+8685-6760-10787+1649+3867-L86-K86</f>
        <v>-430</v>
      </c>
      <c r="N86" s="26">
        <f>6917-127+1553-9588-4062+2081+8916-M86-L86-K86</f>
        <v>3877</v>
      </c>
      <c r="O86" s="26">
        <f>-10945-950-10194-3526+21670+1341+7959</f>
        <v>5355</v>
      </c>
      <c r="P86" s="26">
        <f>-2347-1226+6792-4333-1997+1642+3045-O86</f>
        <v>-3779</v>
      </c>
      <c r="Q86" s="26">
        <f>-1316-1213+4892-5899-1786+1738+463-P86-O86</f>
        <v>-4697</v>
      </c>
      <c r="R86" s="26">
        <f>-10125-2642-3903-8042+12326+1676+5799-Q86-P86-O86</f>
        <v>-1790</v>
      </c>
      <c r="S86" s="26">
        <f>-3934+681-9812-4921+19813+462+4236</f>
        <v>6525</v>
      </c>
      <c r="T86" s="26">
        <f>5542+1065+643-3542-1750+627+1888-S86</f>
        <v>-2052</v>
      </c>
      <c r="U86" s="26">
        <f>4561+1049+4789-3289-6108+260-14-T86-S86</f>
        <v>-3225</v>
      </c>
      <c r="V86" s="26">
        <f>-1823+1484-7520-6499+9448+478+5632-U86-T86-S86</f>
        <v>-48</v>
      </c>
      <c r="W86" s="26">
        <f>4275-1807+2320-4099-6075+131+3758</f>
        <v>-1497</v>
      </c>
      <c r="X86" s="26">
        <f>9596-2548+14785-4092-20764+1757-W86</f>
        <v>231</v>
      </c>
      <c r="Y86" s="30">
        <f>7609+-2570+13111+-4863+-16790+2986-X86-W86</f>
        <v>749</v>
      </c>
    </row>
    <row r="87" spans="1:29" x14ac:dyDescent="0.35">
      <c r="A87" t="s">
        <v>25</v>
      </c>
      <c r="B87" t="s">
        <v>96</v>
      </c>
      <c r="S87" s="26">
        <f t="shared" ref="S87:Y87" si="140">SUM(S82:S86)</f>
        <v>46966</v>
      </c>
      <c r="T87" s="26">
        <f t="shared" si="140"/>
        <v>27078</v>
      </c>
      <c r="U87" s="26">
        <f t="shared" si="140"/>
        <v>21224</v>
      </c>
      <c r="V87" s="26">
        <f t="shared" si="140"/>
        <v>25988</v>
      </c>
      <c r="W87" s="9">
        <f t="shared" si="140"/>
        <v>34005</v>
      </c>
      <c r="X87" s="9">
        <f t="shared" si="140"/>
        <v>28560</v>
      </c>
      <c r="Y87" s="30">
        <f t="shared" si="140"/>
        <v>26380</v>
      </c>
      <c r="AC87" s="9"/>
    </row>
    <row r="88" spans="1:29" x14ac:dyDescent="0.35">
      <c r="V88" s="26"/>
      <c r="Y88" s="22"/>
    </row>
    <row r="89" spans="1:29" x14ac:dyDescent="0.35">
      <c r="A89" t="s">
        <v>25</v>
      </c>
      <c r="B89" s="9" t="s">
        <v>97</v>
      </c>
      <c r="S89" s="26">
        <f>-34913+11309+10675</f>
        <v>-12929</v>
      </c>
      <c r="T89" s="26">
        <f>-61987+18000+24668-S89</f>
        <v>-6390</v>
      </c>
      <c r="U89" s="26">
        <f>-70178+24203+33609-T89-S89</f>
        <v>6953</v>
      </c>
      <c r="V89" s="26">
        <f>-76923+29917+37446-U89-T89-S89</f>
        <v>2806</v>
      </c>
      <c r="W89" s="26">
        <f>-5153+7127+509</f>
        <v>2483</v>
      </c>
      <c r="X89" s="26">
        <f>-11197+17124+1897-W89</f>
        <v>5341</v>
      </c>
      <c r="Y89" s="30">
        <f>-20956+27857+3959-X89-W89</f>
        <v>3036</v>
      </c>
      <c r="AC89" s="26"/>
    </row>
    <row r="90" spans="1:29" x14ac:dyDescent="0.35">
      <c r="B90" s="9" t="s">
        <v>98</v>
      </c>
      <c r="S90" s="26">
        <v>-2803</v>
      </c>
      <c r="T90" s="26">
        <f>-5317-S90</f>
        <v>-2514</v>
      </c>
      <c r="U90" s="26">
        <f>-7419-T90-S90</f>
        <v>-2102</v>
      </c>
      <c r="V90" s="26">
        <f>-10708-U90-T90-S90</f>
        <v>-3289</v>
      </c>
      <c r="W90" s="26">
        <v>-3787</v>
      </c>
      <c r="X90" s="26">
        <f>-6703-W90</f>
        <v>-2916</v>
      </c>
      <c r="Y90" s="30">
        <f>-8796-X90-W90</f>
        <v>-2093</v>
      </c>
      <c r="AC90" s="26"/>
    </row>
    <row r="91" spans="1:29" x14ac:dyDescent="0.35">
      <c r="B91" s="9" t="s">
        <v>94</v>
      </c>
      <c r="S91" s="26">
        <v>-374</v>
      </c>
      <c r="T91" s="26">
        <f>-568-S91</f>
        <v>-194</v>
      </c>
      <c r="U91" s="26">
        <f>-1183-T91-S91</f>
        <v>-615</v>
      </c>
      <c r="V91" s="26">
        <f>-1780</f>
        <v>-1780</v>
      </c>
      <c r="W91" s="26">
        <v>-141</v>
      </c>
      <c r="X91" s="26">
        <f>-247-W91</f>
        <v>-106</v>
      </c>
      <c r="Y91" s="30">
        <f>-753-X91-W91</f>
        <v>-506</v>
      </c>
    </row>
    <row r="92" spans="1:29" x14ac:dyDescent="0.35">
      <c r="A92" t="s">
        <v>25</v>
      </c>
      <c r="B92" s="9" t="s">
        <v>99</v>
      </c>
      <c r="S92" s="26">
        <f>SUM(S89:S91)</f>
        <v>-16106</v>
      </c>
      <c r="T92" s="26">
        <f t="shared" ref="T92:V92" si="141">SUM(T89:T91)</f>
        <v>-9098</v>
      </c>
      <c r="U92" s="26">
        <f t="shared" si="141"/>
        <v>4236</v>
      </c>
      <c r="V92" s="26">
        <f t="shared" si="141"/>
        <v>-2263</v>
      </c>
      <c r="W92" s="26">
        <f>SUM(W89:W91)</f>
        <v>-1445</v>
      </c>
      <c r="X92" s="26">
        <f>SUM(X89:X91)</f>
        <v>2319</v>
      </c>
      <c r="Y92" s="30">
        <f>SUM(Y89:Y91)</f>
        <v>437</v>
      </c>
      <c r="AA92" s="26"/>
      <c r="AC92" s="26"/>
    </row>
    <row r="93" spans="1:29" x14ac:dyDescent="0.35">
      <c r="Y93" s="22"/>
    </row>
    <row r="94" spans="1:29" x14ac:dyDescent="0.35">
      <c r="A94" t="s">
        <v>25</v>
      </c>
      <c r="B94" s="9" t="s">
        <v>100</v>
      </c>
      <c r="S94" s="26">
        <v>-2888</v>
      </c>
      <c r="T94" s="26">
        <f>-3218-S94</f>
        <v>-330</v>
      </c>
      <c r="U94" s="26">
        <f>-5915-T94-S94</f>
        <v>-2697</v>
      </c>
      <c r="V94" s="26">
        <f>-6223-U94-T94-S94</f>
        <v>-308</v>
      </c>
      <c r="W94" s="26">
        <v>-2316</v>
      </c>
      <c r="X94" s="26">
        <f>-2734-W94</f>
        <v>-418</v>
      </c>
      <c r="Y94" s="30">
        <f>-5119-X94-W94</f>
        <v>-2385</v>
      </c>
    </row>
    <row r="95" spans="1:29" x14ac:dyDescent="0.35">
      <c r="B95" s="9" t="s">
        <v>101</v>
      </c>
      <c r="S95" s="26">
        <v>-3732</v>
      </c>
      <c r="T95" s="26">
        <f>-7327-S95</f>
        <v>-3595</v>
      </c>
      <c r="U95" s="26">
        <f>-11138-T95-S95</f>
        <v>-3811</v>
      </c>
      <c r="V95" s="26">
        <f>-14841-U95-T95-S95</f>
        <v>-3703</v>
      </c>
      <c r="W95" s="26">
        <v>-3768</v>
      </c>
      <c r="X95" s="26">
        <f>-7418-W95</f>
        <v>-3650</v>
      </c>
      <c r="Y95" s="30">
        <f>-11267-X95-W95</f>
        <v>-3849</v>
      </c>
    </row>
    <row r="96" spans="1:29" x14ac:dyDescent="0.35">
      <c r="B96" s="9" t="s">
        <v>102</v>
      </c>
      <c r="S96" s="26">
        <v>-20478</v>
      </c>
      <c r="T96" s="26">
        <f>-43109-S96</f>
        <v>-22631</v>
      </c>
      <c r="U96" s="26">
        <f>-64974-T96-S96</f>
        <v>-21865</v>
      </c>
      <c r="V96" s="26">
        <f>-89402-U96-T96-S96</f>
        <v>-24428</v>
      </c>
      <c r="W96" s="26">
        <v>-19475</v>
      </c>
      <c r="X96" s="26">
        <f>-39069-W96</f>
        <v>-19594</v>
      </c>
      <c r="Y96" s="30">
        <f>-56547-X96-W96</f>
        <v>-17478</v>
      </c>
    </row>
    <row r="97" spans="1:28" x14ac:dyDescent="0.35">
      <c r="B97" s="9" t="s">
        <v>86</v>
      </c>
      <c r="S97" s="26">
        <f>0-1000</f>
        <v>-1000</v>
      </c>
      <c r="T97" s="26">
        <f>-3750+999</f>
        <v>-2751</v>
      </c>
      <c r="U97" s="26">
        <f>-6750+4970</f>
        <v>-1780</v>
      </c>
      <c r="V97" s="26">
        <f>(-9543+3955)-U97-T97-S97</f>
        <v>-57</v>
      </c>
      <c r="W97" s="26">
        <f>-1401-8214</f>
        <v>-9615</v>
      </c>
      <c r="X97" s="26">
        <f>-3651-7960-W97</f>
        <v>-1996</v>
      </c>
      <c r="Y97" s="30">
        <f>-11151+-5971+5228-X97-W97</f>
        <v>-283</v>
      </c>
      <c r="AA97" s="26"/>
    </row>
    <row r="98" spans="1:28" x14ac:dyDescent="0.35">
      <c r="B98" s="9" t="s">
        <v>94</v>
      </c>
      <c r="S98" s="26">
        <v>-61</v>
      </c>
      <c r="T98" s="26">
        <f>-105</f>
        <v>-105</v>
      </c>
      <c r="U98" s="26">
        <f>-148</f>
        <v>-148</v>
      </c>
      <c r="V98" s="26">
        <f>-160-U98-T98-S98</f>
        <v>154</v>
      </c>
      <c r="W98" s="26">
        <v>-389</v>
      </c>
      <c r="X98" s="26">
        <f>-455-W98</f>
        <v>-66</v>
      </c>
      <c r="Y98" s="30">
        <f>-508-X98-W98</f>
        <v>-53</v>
      </c>
    </row>
    <row r="99" spans="1:28" x14ac:dyDescent="0.35">
      <c r="A99" t="s">
        <v>25</v>
      </c>
      <c r="B99" s="9" t="s">
        <v>103</v>
      </c>
      <c r="S99" s="26">
        <f t="shared" ref="S99:X99" si="142">SUM(S94:S98)</f>
        <v>-28159</v>
      </c>
      <c r="T99" s="26">
        <f t="shared" si="142"/>
        <v>-29412</v>
      </c>
      <c r="U99" s="26">
        <f t="shared" si="142"/>
        <v>-30301</v>
      </c>
      <c r="V99" s="26">
        <f t="shared" si="142"/>
        <v>-28342</v>
      </c>
      <c r="W99" s="26">
        <f t="shared" si="142"/>
        <v>-35563</v>
      </c>
      <c r="X99" s="26">
        <f t="shared" si="142"/>
        <v>-25724</v>
      </c>
      <c r="Y99" s="30">
        <f>SUM(Y94:Y98)</f>
        <v>-24048</v>
      </c>
      <c r="AA99" s="26"/>
    </row>
    <row r="100" spans="1:28" x14ac:dyDescent="0.35">
      <c r="Y100" s="22"/>
    </row>
    <row r="101" spans="1:28" x14ac:dyDescent="0.35">
      <c r="A101" t="s">
        <v>25</v>
      </c>
      <c r="B101" s="9" t="s">
        <v>104</v>
      </c>
      <c r="S101" s="26">
        <f>S99+S92+S87</f>
        <v>2701</v>
      </c>
      <c r="T101" s="26">
        <f t="shared" ref="T101:V101" si="143">T99+T92+T87</f>
        <v>-11432</v>
      </c>
      <c r="U101" s="26">
        <f>U99+U92+U87</f>
        <v>-4841</v>
      </c>
      <c r="V101" s="26">
        <f t="shared" si="143"/>
        <v>-4617</v>
      </c>
      <c r="W101" s="26">
        <f>W99+W92+W87</f>
        <v>-3003</v>
      </c>
      <c r="X101" s="9">
        <f>X99+X92+X87</f>
        <v>5155</v>
      </c>
      <c r="Y101" s="30">
        <f>Y99+Y92+Y87</f>
        <v>2769</v>
      </c>
      <c r="AA101" s="26"/>
      <c r="AB101" s="26"/>
    </row>
    <row r="102" spans="1:28" x14ac:dyDescent="0.35">
      <c r="Y102" s="22"/>
    </row>
    <row r="103" spans="1:28" x14ac:dyDescent="0.35">
      <c r="T103" s="26"/>
      <c r="Y103" s="22"/>
    </row>
    <row r="104" spans="1:28" x14ac:dyDescent="0.35">
      <c r="T104" s="26"/>
      <c r="Y104" s="22"/>
    </row>
    <row r="105" spans="1:28" x14ac:dyDescent="0.35">
      <c r="Y105" s="22"/>
    </row>
    <row r="106" spans="1:28" x14ac:dyDescent="0.35">
      <c r="Y106" s="22"/>
    </row>
    <row r="107" spans="1:28" x14ac:dyDescent="0.35">
      <c r="Y107" s="22"/>
    </row>
    <row r="108" spans="1:28" x14ac:dyDescent="0.35">
      <c r="Y108" s="22"/>
    </row>
    <row r="109" spans="1:28" x14ac:dyDescent="0.35">
      <c r="Y109" s="22"/>
    </row>
    <row r="110" spans="1:28" x14ac:dyDescent="0.35">
      <c r="Y110" s="22"/>
    </row>
    <row r="111" spans="1:28" x14ac:dyDescent="0.35">
      <c r="Y111" s="22"/>
    </row>
    <row r="112" spans="1:28" x14ac:dyDescent="0.35">
      <c r="Y112" s="22"/>
    </row>
    <row r="113" spans="25:25" x14ac:dyDescent="0.35">
      <c r="Y113" s="22"/>
    </row>
    <row r="114" spans="25:25" x14ac:dyDescent="0.35">
      <c r="Y114" s="22"/>
    </row>
    <row r="115" spans="25:25" x14ac:dyDescent="0.35">
      <c r="Y115" s="22"/>
    </row>
    <row r="116" spans="25:25" x14ac:dyDescent="0.35">
      <c r="Y116" s="22"/>
    </row>
    <row r="117" spans="25:25" x14ac:dyDescent="0.35">
      <c r="Y117" s="22"/>
    </row>
    <row r="118" spans="25:25" x14ac:dyDescent="0.35">
      <c r="Y118"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9503D-23BC-46F5-B57A-FED17E49CE90}">
  <dimension ref="B2:EE62"/>
  <sheetViews>
    <sheetView workbookViewId="0">
      <selection activeCell="O10" sqref="O10"/>
    </sheetView>
  </sheetViews>
  <sheetFormatPr defaultRowHeight="14.5" x14ac:dyDescent="0.35"/>
  <cols>
    <col min="28" max="28" width="11" bestFit="1" customWidth="1"/>
    <col min="30" max="31" width="8.54296875" bestFit="1" customWidth="1"/>
    <col min="33" max="33" width="9.54296875" customWidth="1"/>
    <col min="39" max="39" width="14" bestFit="1" customWidth="1"/>
    <col min="41" max="44" width="10.1796875" bestFit="1" customWidth="1"/>
    <col min="50" max="50" width="25.90625" bestFit="1" customWidth="1"/>
    <col min="51" max="51" width="14" bestFit="1" customWidth="1"/>
    <col min="54" max="54" width="10.1796875" bestFit="1" customWidth="1"/>
    <col min="59" max="59" width="14" bestFit="1" customWidth="1"/>
    <col min="62" max="62" width="10.1796875" bestFit="1" customWidth="1"/>
    <col min="65" max="65" width="14" bestFit="1" customWidth="1"/>
    <col min="68" max="68" width="10.1796875" bestFit="1" customWidth="1"/>
  </cols>
  <sheetData>
    <row r="2" spans="2:69" x14ac:dyDescent="0.35">
      <c r="B2" s="3"/>
      <c r="C2" s="3"/>
      <c r="D2" s="3"/>
      <c r="E2" s="3"/>
      <c r="F2" s="3"/>
      <c r="G2" s="3"/>
      <c r="H2" s="3"/>
      <c r="I2" s="3"/>
      <c r="J2" s="3"/>
      <c r="K2" s="3"/>
      <c r="L2" s="3"/>
      <c r="M2" s="3"/>
      <c r="N2" s="3"/>
      <c r="O2" s="3"/>
      <c r="P2" s="3"/>
      <c r="Q2" s="3"/>
      <c r="R2" s="3"/>
      <c r="S2" s="3"/>
      <c r="T2" s="3"/>
      <c r="U2" s="3"/>
      <c r="V2" s="3"/>
      <c r="W2" s="3"/>
      <c r="X2" s="3"/>
      <c r="Y2" s="3">
        <v>44464</v>
      </c>
      <c r="Z2" s="3">
        <v>44828</v>
      </c>
      <c r="AA2" s="3">
        <v>45199</v>
      </c>
      <c r="AB2" s="3">
        <f>AA2+366</f>
        <v>45565</v>
      </c>
      <c r="AC2" s="3">
        <f>AB2+365</f>
        <v>45930</v>
      </c>
      <c r="AD2" s="3">
        <f>AC2+365</f>
        <v>46295</v>
      </c>
      <c r="AE2" s="3">
        <f>AD2+365</f>
        <v>46660</v>
      </c>
      <c r="AF2" s="3">
        <f>AE2+366</f>
        <v>47026</v>
      </c>
      <c r="AG2" s="3">
        <f>AF2+365</f>
        <v>47391</v>
      </c>
      <c r="AH2" s="3">
        <f>AG2+365</f>
        <v>47756</v>
      </c>
      <c r="AI2" s="3">
        <f>AH2+365</f>
        <v>48121</v>
      </c>
      <c r="AJ2" s="3">
        <f>AI2+366</f>
        <v>48487</v>
      </c>
      <c r="AK2" s="3">
        <f>AJ2+365</f>
        <v>48852</v>
      </c>
      <c r="AL2" s="3">
        <f>AK2+365</f>
        <v>49217</v>
      </c>
      <c r="AM2" s="3">
        <f>AL2+365</f>
        <v>49582</v>
      </c>
      <c r="AN2" s="3">
        <f>AM2+366</f>
        <v>49948</v>
      </c>
      <c r="AO2" s="3">
        <f>AN2+365</f>
        <v>50313</v>
      </c>
      <c r="AP2" s="3">
        <f>AO2+365</f>
        <v>50678</v>
      </c>
      <c r="AQ2" s="3">
        <f>AP2+365</f>
        <v>51043</v>
      </c>
      <c r="AR2" s="3">
        <f>AQ2+366</f>
        <v>51409</v>
      </c>
    </row>
    <row r="3" spans="2:69" x14ac:dyDescent="0.35">
      <c r="B3" s="1" t="s">
        <v>110</v>
      </c>
      <c r="C3" s="1" t="s">
        <v>111</v>
      </c>
      <c r="D3" s="1" t="s">
        <v>112</v>
      </c>
      <c r="E3" s="1" t="s">
        <v>113</v>
      </c>
      <c r="F3" s="1" t="s">
        <v>114</v>
      </c>
      <c r="G3" s="1" t="s">
        <v>115</v>
      </c>
      <c r="H3" s="1" t="s">
        <v>116</v>
      </c>
      <c r="I3" s="1" t="s">
        <v>117</v>
      </c>
      <c r="J3" s="1" t="s">
        <v>118</v>
      </c>
      <c r="K3" s="1" t="s">
        <v>119</v>
      </c>
      <c r="L3" s="1" t="s">
        <v>120</v>
      </c>
      <c r="M3" s="1" t="s">
        <v>121</v>
      </c>
      <c r="N3" s="1" t="s">
        <v>122</v>
      </c>
      <c r="O3" s="1" t="s">
        <v>123</v>
      </c>
      <c r="P3" s="1" t="s">
        <v>124</v>
      </c>
      <c r="Q3" s="1" t="s">
        <v>125</v>
      </c>
      <c r="R3" s="1" t="s">
        <v>126</v>
      </c>
      <c r="S3" s="1" t="s">
        <v>127</v>
      </c>
      <c r="T3" s="1" t="s">
        <v>128</v>
      </c>
      <c r="U3" s="1" t="s">
        <v>129</v>
      </c>
      <c r="V3" s="1" t="s">
        <v>130</v>
      </c>
      <c r="W3" s="1" t="s">
        <v>131</v>
      </c>
      <c r="X3" s="1" t="s">
        <v>132</v>
      </c>
      <c r="Y3" s="1" t="s">
        <v>133</v>
      </c>
      <c r="Z3" s="1" t="s">
        <v>134</v>
      </c>
      <c r="AA3" s="1" t="s">
        <v>135</v>
      </c>
      <c r="AB3" s="1" t="s">
        <v>136</v>
      </c>
      <c r="AC3" s="1" t="s">
        <v>137</v>
      </c>
      <c r="AD3" s="1" t="s">
        <v>138</v>
      </c>
      <c r="AE3" s="1" t="s">
        <v>139</v>
      </c>
      <c r="AF3" s="1" t="s">
        <v>140</v>
      </c>
      <c r="AG3" s="1" t="s">
        <v>141</v>
      </c>
      <c r="AH3" s="1" t="s">
        <v>142</v>
      </c>
      <c r="AI3" s="1" t="s">
        <v>143</v>
      </c>
      <c r="AJ3" s="1" t="s">
        <v>144</v>
      </c>
      <c r="AK3" s="1" t="s">
        <v>145</v>
      </c>
      <c r="AL3" s="1" t="s">
        <v>146</v>
      </c>
      <c r="AM3" s="1" t="s">
        <v>147</v>
      </c>
      <c r="AN3" s="1" t="s">
        <v>148</v>
      </c>
      <c r="AO3" s="1" t="s">
        <v>149</v>
      </c>
      <c r="AP3" s="1" t="s">
        <v>150</v>
      </c>
      <c r="AQ3" s="1" t="s">
        <v>151</v>
      </c>
      <c r="AR3" s="1" t="s">
        <v>152</v>
      </c>
    </row>
    <row r="4" spans="2:69" x14ac:dyDescent="0.35">
      <c r="B4" s="1"/>
      <c r="C4" s="1"/>
      <c r="D4" s="1"/>
      <c r="E4" s="1"/>
      <c r="F4" s="1"/>
      <c r="G4" s="1"/>
      <c r="H4" s="1"/>
      <c r="I4" s="1"/>
      <c r="J4" s="1"/>
      <c r="K4" s="1"/>
      <c r="L4" s="1"/>
      <c r="M4" s="1"/>
      <c r="N4" s="1"/>
      <c r="O4" s="1"/>
      <c r="P4" s="1"/>
      <c r="Q4" s="1"/>
      <c r="R4" s="1"/>
      <c r="S4" s="1"/>
      <c r="T4" s="1"/>
      <c r="U4" s="1"/>
      <c r="V4" s="1"/>
      <c r="W4" s="1"/>
      <c r="X4" s="1"/>
      <c r="Y4" s="1"/>
      <c r="Z4" s="1"/>
      <c r="AA4" s="1"/>
      <c r="AB4" s="1"/>
      <c r="AR4" s="1"/>
    </row>
    <row r="5" spans="2:69" x14ac:dyDescent="0.35">
      <c r="B5" s="1"/>
      <c r="C5" s="1"/>
      <c r="D5" s="1"/>
      <c r="E5" s="1"/>
      <c r="F5" s="1"/>
      <c r="G5" s="1"/>
      <c r="H5" s="1"/>
      <c r="I5" s="1"/>
      <c r="J5" s="1"/>
      <c r="P5" s="1"/>
      <c r="Q5" s="1"/>
      <c r="R5" s="1"/>
      <c r="S5" s="1"/>
      <c r="T5" s="1"/>
      <c r="U5" s="1"/>
      <c r="V5" s="1"/>
      <c r="W5" s="1"/>
      <c r="X5" s="1"/>
      <c r="Y5" s="1"/>
      <c r="Z5" s="1"/>
      <c r="AA5" s="1"/>
      <c r="AB5" s="1"/>
      <c r="AR5" s="1"/>
    </row>
    <row r="6" spans="2:69" x14ac:dyDescent="0.35">
      <c r="B6" s="1"/>
      <c r="C6" s="1"/>
      <c r="D6" s="1"/>
      <c r="E6" s="1"/>
      <c r="F6" s="1"/>
      <c r="G6" s="1"/>
      <c r="H6" s="1"/>
      <c r="I6" s="1"/>
      <c r="J6" s="1"/>
      <c r="K6" s="1"/>
      <c r="L6" s="1"/>
      <c r="M6" s="1"/>
      <c r="N6" s="1"/>
      <c r="O6" s="1"/>
      <c r="P6" s="1"/>
      <c r="Q6" s="1"/>
      <c r="R6" s="1"/>
      <c r="S6" s="1"/>
      <c r="T6" s="1"/>
      <c r="U6" s="1"/>
      <c r="V6" s="1"/>
      <c r="W6" s="1"/>
      <c r="X6" s="1"/>
      <c r="Y6" s="1"/>
      <c r="Z6" s="1"/>
      <c r="AA6" s="1"/>
      <c r="AB6" s="1"/>
      <c r="AR6" s="1"/>
      <c r="AW6" s="1"/>
      <c r="AX6" s="1"/>
      <c r="AY6" s="1"/>
      <c r="AZ6" s="1"/>
      <c r="BA6" s="1"/>
      <c r="BB6" s="1"/>
    </row>
    <row r="7" spans="2:69" ht="15" thickBot="1" x14ac:dyDescent="0.4">
      <c r="B7" s="1"/>
      <c r="C7" s="1"/>
      <c r="D7" s="1"/>
      <c r="E7" s="1"/>
      <c r="F7" s="1"/>
      <c r="G7" s="1"/>
      <c r="H7" s="1"/>
      <c r="I7" s="1"/>
      <c r="J7" s="1"/>
      <c r="K7" s="1"/>
      <c r="L7" s="1"/>
      <c r="M7" s="1"/>
      <c r="N7" s="1"/>
      <c r="O7" s="1"/>
      <c r="P7" s="1"/>
      <c r="Q7" s="1"/>
      <c r="R7" s="1"/>
      <c r="S7" s="1"/>
      <c r="T7" s="1"/>
      <c r="U7" s="1"/>
      <c r="V7" s="1"/>
      <c r="W7" s="1"/>
      <c r="X7" s="1"/>
      <c r="Y7" s="1"/>
      <c r="Z7" s="1"/>
      <c r="AA7" s="1"/>
      <c r="AB7" s="1"/>
      <c r="AR7" s="1"/>
      <c r="AW7" s="19"/>
      <c r="AX7" s="49" t="s">
        <v>188</v>
      </c>
      <c r="AY7" s="49" t="s">
        <v>170</v>
      </c>
      <c r="AZ7" s="49" t="s">
        <v>169</v>
      </c>
      <c r="BA7" s="49" t="s">
        <v>171</v>
      </c>
      <c r="BB7" s="50" t="s">
        <v>172</v>
      </c>
    </row>
    <row r="8" spans="2:69" ht="15" thickTop="1" x14ac:dyDescent="0.35">
      <c r="B8" s="1"/>
      <c r="C8" s="1"/>
      <c r="D8" s="1"/>
      <c r="E8" s="1"/>
      <c r="F8" s="1"/>
      <c r="G8" s="1"/>
      <c r="H8" s="1"/>
      <c r="I8" s="1"/>
      <c r="J8" s="1"/>
      <c r="K8" s="1"/>
      <c r="L8" s="1"/>
      <c r="M8" s="1"/>
      <c r="N8" s="1"/>
      <c r="O8" s="1"/>
      <c r="P8" s="1"/>
      <c r="Q8" s="1"/>
      <c r="R8" s="1"/>
      <c r="S8" s="1"/>
      <c r="T8" s="1"/>
      <c r="U8" s="1"/>
      <c r="V8" s="1"/>
      <c r="W8" s="1"/>
      <c r="X8" s="1"/>
      <c r="Y8" s="1"/>
      <c r="Z8" s="1"/>
      <c r="AA8" s="1"/>
      <c r="AB8" s="1"/>
      <c r="AR8" s="1"/>
      <c r="AW8" s="19"/>
      <c r="AX8" s="1"/>
      <c r="AY8" s="47">
        <v>1</v>
      </c>
      <c r="AZ8" s="47">
        <v>2</v>
      </c>
      <c r="BA8" s="47">
        <v>3</v>
      </c>
      <c r="BB8" s="51"/>
    </row>
    <row r="9" spans="2:69" x14ac:dyDescent="0.35">
      <c r="B9" s="1"/>
      <c r="C9" s="1"/>
      <c r="D9" s="1"/>
      <c r="E9" s="1"/>
      <c r="F9" s="1"/>
      <c r="G9" s="1"/>
      <c r="H9" s="1"/>
      <c r="I9" s="1"/>
      <c r="J9" s="1"/>
      <c r="K9" s="1"/>
      <c r="L9" s="1"/>
      <c r="M9" s="1"/>
      <c r="N9" s="1"/>
      <c r="O9" s="1"/>
      <c r="P9" s="1"/>
      <c r="Q9" s="1"/>
      <c r="R9" s="1"/>
      <c r="S9" s="1"/>
      <c r="T9" s="1"/>
      <c r="U9" s="1"/>
      <c r="V9" s="1"/>
      <c r="W9" s="1"/>
      <c r="X9" s="1"/>
      <c r="Y9" s="1"/>
      <c r="Z9" s="1"/>
      <c r="AA9" s="1"/>
      <c r="AB9" s="1"/>
      <c r="AR9" s="1"/>
      <c r="AW9" s="22"/>
      <c r="AX9" s="1" t="s">
        <v>189</v>
      </c>
      <c r="AY9" s="48">
        <f>AZ9+0.02</f>
        <v>6.5000000000000002E-2</v>
      </c>
      <c r="AZ9" s="48">
        <v>4.4999999999999998E-2</v>
      </c>
      <c r="BA9" s="48">
        <f>AZ9-0.03</f>
        <v>1.4999999999999999E-2</v>
      </c>
      <c r="BB9" s="51">
        <v>2</v>
      </c>
      <c r="BQ9" s="1"/>
    </row>
    <row r="10" spans="2:69" x14ac:dyDescent="0.35">
      <c r="B10" s="1"/>
      <c r="C10" s="1"/>
      <c r="D10" s="1"/>
      <c r="E10" s="1"/>
      <c r="F10" s="1"/>
      <c r="G10" s="1"/>
      <c r="H10" s="1"/>
      <c r="I10" s="1"/>
      <c r="J10" s="1"/>
      <c r="K10" s="1"/>
      <c r="L10" s="1"/>
      <c r="M10" s="1"/>
      <c r="N10" s="1"/>
      <c r="O10" s="1"/>
      <c r="P10" s="1"/>
      <c r="Q10" s="1"/>
      <c r="R10" s="1"/>
      <c r="S10" s="1"/>
      <c r="T10" s="1"/>
      <c r="U10" s="1"/>
      <c r="V10" s="1"/>
      <c r="W10" s="1"/>
      <c r="X10" s="1"/>
      <c r="Y10" s="1"/>
      <c r="Z10" s="1"/>
      <c r="AA10" s="1"/>
      <c r="AB10" s="1"/>
      <c r="AR10" s="1"/>
      <c r="AW10" s="19"/>
      <c r="AX10" s="1" t="s">
        <v>168</v>
      </c>
      <c r="AY10" s="48">
        <f>AZ10+0.05</f>
        <v>0.09</v>
      </c>
      <c r="AZ10" s="48">
        <v>0.04</v>
      </c>
      <c r="BA10" s="48">
        <f>AZ10-0.02</f>
        <v>0.02</v>
      </c>
      <c r="BB10" s="51">
        <v>2</v>
      </c>
      <c r="BQ10" s="1"/>
    </row>
    <row r="11" spans="2:69" x14ac:dyDescent="0.35">
      <c r="B11" s="1"/>
      <c r="C11" s="1"/>
      <c r="D11" s="1"/>
      <c r="E11" s="1"/>
      <c r="F11" s="1"/>
      <c r="G11" s="1"/>
      <c r="H11" s="1"/>
      <c r="I11" s="1"/>
      <c r="J11" s="1"/>
      <c r="K11" s="1"/>
      <c r="L11" s="1"/>
      <c r="M11" s="1"/>
      <c r="N11" s="1"/>
      <c r="O11" s="1"/>
      <c r="P11" s="1"/>
      <c r="Q11" s="1"/>
      <c r="R11" s="1"/>
      <c r="S11" s="1"/>
      <c r="T11" s="1"/>
      <c r="U11" s="1"/>
      <c r="V11" s="1"/>
      <c r="W11" s="1"/>
      <c r="X11" s="1"/>
      <c r="Y11" s="1"/>
      <c r="Z11" s="1"/>
      <c r="AA11" s="1"/>
      <c r="AB11" s="1"/>
      <c r="AR11" s="1"/>
      <c r="AW11" s="19"/>
      <c r="AX11" s="1" t="s">
        <v>190</v>
      </c>
      <c r="AY11" s="48">
        <f>AZ11+0.02</f>
        <v>0.06</v>
      </c>
      <c r="AZ11" s="48">
        <v>0.04</v>
      </c>
      <c r="BA11" s="48">
        <f>AZ11-0.02</f>
        <v>0.02</v>
      </c>
      <c r="BB11" s="51">
        <v>2</v>
      </c>
      <c r="BC11" s="1"/>
      <c r="BD11" s="1"/>
      <c r="BE11" s="1"/>
      <c r="BF11" s="1"/>
      <c r="BG11" s="1"/>
      <c r="BH11" s="1"/>
      <c r="BI11" s="1"/>
      <c r="BJ11" s="1"/>
      <c r="BQ11" s="1"/>
    </row>
    <row r="12" spans="2:69" x14ac:dyDescent="0.35">
      <c r="B12" s="1"/>
      <c r="C12" s="1"/>
      <c r="D12" s="1"/>
      <c r="E12" s="1"/>
      <c r="F12" s="1"/>
      <c r="G12" s="1"/>
      <c r="H12" s="1"/>
      <c r="I12" s="1"/>
      <c r="J12" s="1"/>
      <c r="K12" s="1"/>
      <c r="L12" s="1"/>
      <c r="M12" s="1"/>
      <c r="N12" s="1"/>
      <c r="O12" s="1"/>
      <c r="P12" s="1"/>
      <c r="Q12" s="1"/>
      <c r="R12" s="1"/>
      <c r="S12" s="1"/>
      <c r="T12" s="1"/>
      <c r="U12" s="1"/>
      <c r="V12" s="1"/>
      <c r="W12" s="1"/>
      <c r="X12" s="1"/>
      <c r="Y12" s="1"/>
      <c r="Z12" s="1"/>
      <c r="AA12" s="1"/>
      <c r="AB12" s="1"/>
      <c r="AR12" s="1"/>
      <c r="AW12" s="19"/>
      <c r="AX12" s="1" t="s">
        <v>167</v>
      </c>
      <c r="AY12" s="48">
        <f>AZ12+0.02</f>
        <v>0.11</v>
      </c>
      <c r="AZ12" s="48">
        <v>0.09</v>
      </c>
      <c r="BA12" s="48">
        <f>AZ12-0.02</f>
        <v>6.9999999999999993E-2</v>
      </c>
      <c r="BB12" s="51">
        <v>2</v>
      </c>
      <c r="BC12" s="1"/>
      <c r="BD12" s="1"/>
      <c r="BE12" s="1"/>
      <c r="BF12" s="1"/>
      <c r="BG12" s="1"/>
      <c r="BH12" s="1"/>
      <c r="BI12" s="1"/>
      <c r="BJ12" s="1"/>
      <c r="BQ12" s="1"/>
    </row>
    <row r="13" spans="2:69" x14ac:dyDescent="0.35">
      <c r="B13" s="1"/>
      <c r="C13" s="1"/>
      <c r="D13" s="1"/>
      <c r="E13" s="1"/>
      <c r="F13" s="1"/>
      <c r="G13" s="1"/>
      <c r="H13" s="1"/>
      <c r="I13" s="1"/>
      <c r="J13" s="1"/>
      <c r="K13" s="1"/>
      <c r="L13" s="1"/>
      <c r="M13" s="1"/>
      <c r="N13" s="1"/>
      <c r="O13" s="1"/>
      <c r="P13" s="1"/>
      <c r="Q13" s="1"/>
      <c r="R13" s="1"/>
      <c r="S13" s="1"/>
      <c r="T13" s="1"/>
      <c r="U13" s="1"/>
      <c r="V13" s="1"/>
      <c r="W13" s="1"/>
      <c r="X13" s="1"/>
      <c r="Y13" s="1"/>
      <c r="Z13" s="1"/>
      <c r="AA13" s="1"/>
      <c r="AB13" s="1"/>
      <c r="AR13" s="1"/>
      <c r="AW13" s="19"/>
      <c r="AX13" s="1" t="s">
        <v>173</v>
      </c>
      <c r="AY13" s="48">
        <f>AZ13+0.03</f>
        <v>0.14000000000000001</v>
      </c>
      <c r="AZ13" s="48">
        <v>0.11</v>
      </c>
      <c r="BA13" s="48">
        <f>AZ13-0.03</f>
        <v>0.08</v>
      </c>
      <c r="BB13" s="51">
        <v>2</v>
      </c>
      <c r="BC13" s="1"/>
      <c r="BD13" s="1"/>
      <c r="BE13" s="1"/>
      <c r="BQ13" s="1"/>
    </row>
    <row r="14" spans="2:69" x14ac:dyDescent="0.35">
      <c r="AW14" s="19"/>
      <c r="AX14" s="1" t="s">
        <v>175</v>
      </c>
      <c r="AY14" s="48">
        <f>AZ14+0.02</f>
        <v>0.71</v>
      </c>
      <c r="AZ14" s="48">
        <v>0.69</v>
      </c>
      <c r="BA14" s="48">
        <f>AZ14-0.02</f>
        <v>0.66999999999999993</v>
      </c>
      <c r="BB14" s="51">
        <v>2</v>
      </c>
      <c r="BC14" s="1"/>
      <c r="BE14" s="1"/>
      <c r="BQ14" s="1"/>
    </row>
    <row r="15" spans="2:69" x14ac:dyDescent="0.35">
      <c r="AW15" s="19"/>
      <c r="AX15" s="1" t="s">
        <v>174</v>
      </c>
      <c r="AY15" s="48">
        <v>0.37</v>
      </c>
      <c r="AZ15" s="48">
        <v>0.34</v>
      </c>
      <c r="BA15" s="48">
        <v>0.32</v>
      </c>
      <c r="BB15" s="51">
        <v>2</v>
      </c>
      <c r="BC15" s="1"/>
      <c r="BE15" s="1"/>
      <c r="BQ15" s="1"/>
    </row>
    <row r="16" spans="2:69" x14ac:dyDescent="0.35">
      <c r="AW16" s="22"/>
      <c r="AX16" s="1" t="s">
        <v>184</v>
      </c>
      <c r="AY16" s="48">
        <f>AZ16-0.01</f>
        <v>6.0000000000000005E-2</v>
      </c>
      <c r="AZ16" s="48">
        <v>7.0000000000000007E-2</v>
      </c>
      <c r="BA16" s="48">
        <f>AZ16+0.01</f>
        <v>0.08</v>
      </c>
      <c r="BB16" s="51">
        <v>2</v>
      </c>
      <c r="BC16" s="1"/>
      <c r="BE16" s="1"/>
      <c r="BQ16" s="1"/>
    </row>
    <row r="17" spans="2:69" x14ac:dyDescent="0.35">
      <c r="AW17" s="22"/>
      <c r="AX17" s="1" t="s">
        <v>176</v>
      </c>
      <c r="AY17" s="48">
        <v>0.04</v>
      </c>
      <c r="AZ17" s="48">
        <v>7.0000000000000007E-2</v>
      </c>
      <c r="BA17" s="48">
        <v>0.09</v>
      </c>
      <c r="BB17" s="51">
        <v>2</v>
      </c>
      <c r="BC17" s="1"/>
      <c r="BE17" s="1"/>
      <c r="BQ17" s="1"/>
    </row>
    <row r="18" spans="2:69" x14ac:dyDescent="0.35">
      <c r="Z18" s="22"/>
      <c r="AW18" s="22"/>
      <c r="AX18" s="1" t="s">
        <v>72</v>
      </c>
      <c r="AY18" s="48">
        <v>0.14000000000000001</v>
      </c>
      <c r="AZ18" s="48">
        <v>0.15</v>
      </c>
      <c r="BA18" s="48">
        <v>0.16</v>
      </c>
      <c r="BB18" s="51">
        <v>2</v>
      </c>
      <c r="BC18" s="1"/>
      <c r="BD18" s="1"/>
      <c r="BE18" s="1"/>
      <c r="BQ18" s="1"/>
    </row>
    <row r="19" spans="2:69" x14ac:dyDescent="0.35">
      <c r="B19" s="1"/>
      <c r="C19" s="1"/>
      <c r="D19" s="1"/>
      <c r="E19" s="1"/>
      <c r="F19" s="1"/>
      <c r="G19" s="1"/>
      <c r="H19" s="1"/>
      <c r="I19" s="1"/>
      <c r="J19" s="1"/>
      <c r="K19" s="1"/>
      <c r="L19" s="1"/>
      <c r="M19" s="1"/>
      <c r="N19" s="1"/>
      <c r="O19" s="1"/>
      <c r="P19" s="1"/>
      <c r="Q19" s="1"/>
      <c r="R19" s="1"/>
      <c r="S19" s="1"/>
      <c r="T19" s="1"/>
      <c r="U19" s="1"/>
      <c r="V19" s="12"/>
      <c r="W19" s="1"/>
      <c r="X19" s="1"/>
      <c r="Y19" s="1"/>
      <c r="Z19" s="19"/>
      <c r="AW19" s="22"/>
      <c r="BB19" s="22"/>
      <c r="BC19" s="1"/>
      <c r="BD19" s="1"/>
      <c r="BE19" s="1"/>
    </row>
    <row r="20" spans="2:69" x14ac:dyDescent="0.35">
      <c r="B20" s="12"/>
      <c r="C20" s="12"/>
      <c r="D20" s="12"/>
      <c r="E20" s="25">
        <v>0</v>
      </c>
      <c r="F20" s="25">
        <v>0</v>
      </c>
      <c r="G20" s="25">
        <v>0</v>
      </c>
      <c r="H20" s="25">
        <v>0</v>
      </c>
      <c r="I20" s="25">
        <v>0</v>
      </c>
      <c r="J20" s="25">
        <v>0</v>
      </c>
      <c r="K20" s="25">
        <v>123</v>
      </c>
      <c r="L20" s="25">
        <v>6742</v>
      </c>
      <c r="M20" s="25">
        <v>13033</v>
      </c>
      <c r="N20" s="25">
        <v>25179</v>
      </c>
      <c r="O20" s="25">
        <v>45998</v>
      </c>
      <c r="P20" s="25">
        <v>78692</v>
      </c>
      <c r="Q20" s="25">
        <v>91279</v>
      </c>
      <c r="R20" s="25">
        <v>101991</v>
      </c>
      <c r="S20" s="25">
        <v>155041</v>
      </c>
      <c r="T20" s="25">
        <v>136700</v>
      </c>
      <c r="U20" s="25">
        <v>141319</v>
      </c>
      <c r="V20" s="25" t="e">
        <f>SUM(#REF!)</f>
        <v>#REF!</v>
      </c>
      <c r="W20" s="25">
        <v>142381</v>
      </c>
      <c r="X20" s="25" t="e">
        <f>SUM(#REF!)</f>
        <v>#REF!</v>
      </c>
      <c r="Y20" s="25" t="e">
        <f>SUM(#REF!)</f>
        <v>#REF!</v>
      </c>
      <c r="Z20" s="34" t="e">
        <f>SUM(#REF!)</f>
        <v>#REF!</v>
      </c>
      <c r="AA20" s="43" t="e">
        <f>SUM(#REF!)</f>
        <v>#REF!</v>
      </c>
      <c r="AB20" s="26" t="e">
        <f t="shared" ref="AB20:AR20" si="0">AA20*IF($CC$9=1,1+$BZ$9,IF($CC$9=2,(1+$CA$9),IF($CC$9=3,(1+$CB$9))))</f>
        <v>#REF!</v>
      </c>
      <c r="AC20" s="26" t="e">
        <f t="shared" si="0"/>
        <v>#REF!</v>
      </c>
      <c r="AD20" s="26" t="e">
        <f t="shared" si="0"/>
        <v>#REF!</v>
      </c>
      <c r="AE20" s="26" t="e">
        <f t="shared" si="0"/>
        <v>#REF!</v>
      </c>
      <c r="AF20" s="26" t="e">
        <f t="shared" si="0"/>
        <v>#REF!</v>
      </c>
      <c r="AG20" s="26" t="e">
        <f t="shared" si="0"/>
        <v>#REF!</v>
      </c>
      <c r="AH20" s="26" t="e">
        <f t="shared" si="0"/>
        <v>#REF!</v>
      </c>
      <c r="AI20" s="26" t="e">
        <f t="shared" si="0"/>
        <v>#REF!</v>
      </c>
      <c r="AJ20" s="26" t="e">
        <f t="shared" si="0"/>
        <v>#REF!</v>
      </c>
      <c r="AK20" s="26" t="e">
        <f t="shared" si="0"/>
        <v>#REF!</v>
      </c>
      <c r="AL20" s="26" t="e">
        <f t="shared" si="0"/>
        <v>#REF!</v>
      </c>
      <c r="AM20" s="26" t="e">
        <f t="shared" si="0"/>
        <v>#REF!</v>
      </c>
      <c r="AN20" s="26" t="e">
        <f t="shared" si="0"/>
        <v>#REF!</v>
      </c>
      <c r="AO20" s="26" t="e">
        <f t="shared" si="0"/>
        <v>#REF!</v>
      </c>
      <c r="AP20" s="26" t="e">
        <f t="shared" si="0"/>
        <v>#REF!</v>
      </c>
      <c r="AQ20" s="26" t="e">
        <f t="shared" si="0"/>
        <v>#REF!</v>
      </c>
      <c r="AR20" s="26" t="e">
        <f t="shared" si="0"/>
        <v>#REF!</v>
      </c>
      <c r="AW20" s="22"/>
      <c r="BB20" s="22"/>
      <c r="BC20" s="1"/>
      <c r="BD20" s="1"/>
      <c r="BE20" s="1"/>
    </row>
    <row r="21" spans="2:69" x14ac:dyDescent="0.35">
      <c r="B21" s="12"/>
      <c r="C21" s="12"/>
      <c r="D21" s="12"/>
      <c r="E21" s="25"/>
      <c r="F21" s="25"/>
      <c r="G21" s="25"/>
      <c r="H21" s="25"/>
      <c r="I21" s="25"/>
      <c r="J21" s="25"/>
      <c r="K21" s="25"/>
      <c r="L21" s="25"/>
      <c r="M21" s="25">
        <v>20731</v>
      </c>
      <c r="N21" s="25">
        <v>39989</v>
      </c>
      <c r="O21" s="25">
        <v>72293</v>
      </c>
      <c r="P21" s="25">
        <v>125046</v>
      </c>
      <c r="Q21" s="25">
        <v>150257</v>
      </c>
      <c r="R21" s="25">
        <v>169219</v>
      </c>
      <c r="S21" s="25">
        <v>231218</v>
      </c>
      <c r="T21" s="25">
        <v>211884</v>
      </c>
      <c r="U21" s="25" t="e">
        <f>SUM(#REF!)</f>
        <v>#REF!</v>
      </c>
      <c r="V21" s="25" t="e">
        <f>SUM(#REF!)</f>
        <v>#REF!</v>
      </c>
      <c r="W21" s="25" t="e">
        <f>SUM(#REF!)</f>
        <v>#REF!</v>
      </c>
      <c r="X21" s="25" t="e">
        <f>SUM(#REF!)</f>
        <v>#REF!</v>
      </c>
      <c r="Y21" s="25" t="e">
        <f>SUM(#REF!)</f>
        <v>#REF!</v>
      </c>
      <c r="Z21" s="34" t="e">
        <f>SUM(#REF!)</f>
        <v>#REF!</v>
      </c>
      <c r="AA21" s="43" t="e">
        <f t="shared" ref="AA21" si="1">SUM(#REF!)</f>
        <v>#REF!</v>
      </c>
      <c r="AW21" s="22"/>
      <c r="AX21" s="1"/>
      <c r="AY21" s="1"/>
      <c r="AZ21" s="1"/>
      <c r="BA21" s="1"/>
      <c r="BB21" s="19"/>
    </row>
    <row r="22" spans="2:69" x14ac:dyDescent="0.35">
      <c r="B22" s="12"/>
      <c r="C22" s="12"/>
      <c r="D22" s="12"/>
      <c r="E22" s="25"/>
      <c r="F22" s="25"/>
      <c r="G22" s="25"/>
      <c r="H22" s="25"/>
      <c r="I22" s="25"/>
      <c r="J22" s="25"/>
      <c r="K22" s="25"/>
      <c r="L22" s="25"/>
      <c r="M22" s="25">
        <f>+M20*1000/M21</f>
        <v>628.67203704596977</v>
      </c>
      <c r="N22" s="25">
        <f>+N20*1000/N21</f>
        <v>629.64815324214157</v>
      </c>
      <c r="O22" s="25">
        <f>+O20*1000/O21</f>
        <v>636.27183821393498</v>
      </c>
      <c r="P22" s="25">
        <f>+P20*1000/P21</f>
        <v>629.3044159749212</v>
      </c>
      <c r="Q22" s="25">
        <f t="shared" ref="Q22:Z22" si="2">+Q20*1000/Q21</f>
        <v>607.48584092588032</v>
      </c>
      <c r="R22" s="25">
        <f t="shared" si="2"/>
        <v>602.71600706776428</v>
      </c>
      <c r="S22" s="25">
        <f t="shared" si="2"/>
        <v>670.54035585464794</v>
      </c>
      <c r="T22" s="25">
        <f t="shared" si="2"/>
        <v>645.16433520228054</v>
      </c>
      <c r="U22" s="25" t="e">
        <f t="shared" si="2"/>
        <v>#REF!</v>
      </c>
      <c r="V22" s="25" t="e">
        <f t="shared" si="2"/>
        <v>#REF!</v>
      </c>
      <c r="W22" s="25" t="e">
        <f t="shared" si="2"/>
        <v>#REF!</v>
      </c>
      <c r="X22" s="25" t="e">
        <f t="shared" si="2"/>
        <v>#REF!</v>
      </c>
      <c r="Y22" s="25" t="e">
        <f t="shared" si="2"/>
        <v>#REF!</v>
      </c>
      <c r="Z22" s="34" t="e">
        <f t="shared" si="2"/>
        <v>#REF!</v>
      </c>
      <c r="AA22" s="43" t="e">
        <f t="shared" ref="AA22" si="3">SUM(#REF!)</f>
        <v>#REF!</v>
      </c>
      <c r="AW22" s="22"/>
      <c r="AX22" s="1" t="s">
        <v>179</v>
      </c>
      <c r="AY22" s="42">
        <v>7.4999999999999997E-2</v>
      </c>
      <c r="AZ22" s="1"/>
      <c r="BA22" s="1" t="s">
        <v>187</v>
      </c>
      <c r="BB22" s="19">
        <v>186.68</v>
      </c>
    </row>
    <row r="23" spans="2:69" x14ac:dyDescent="0.35">
      <c r="B23" s="12"/>
      <c r="C23" s="12"/>
      <c r="D23" s="12"/>
      <c r="E23" s="25"/>
      <c r="F23" s="25"/>
      <c r="G23" s="25"/>
      <c r="H23" s="25"/>
      <c r="I23" s="25"/>
      <c r="J23" s="25"/>
      <c r="K23" s="25"/>
      <c r="L23" s="25"/>
      <c r="M23" s="25"/>
      <c r="N23" s="25"/>
      <c r="O23" s="25"/>
      <c r="P23" s="25"/>
      <c r="Q23" s="25"/>
      <c r="R23" s="25"/>
      <c r="S23" s="25"/>
      <c r="T23" s="25"/>
      <c r="U23" s="25"/>
      <c r="V23" s="25"/>
      <c r="W23" s="25"/>
      <c r="X23" s="25"/>
      <c r="Y23" s="25"/>
      <c r="Z23" s="34"/>
      <c r="AA23" s="43" t="e">
        <f t="shared" ref="AA23" si="4">SUM(#REF!)</f>
        <v>#REF!</v>
      </c>
      <c r="AW23" s="22"/>
      <c r="AX23" s="1" t="s">
        <v>180</v>
      </c>
      <c r="AY23" s="17">
        <v>-0.01</v>
      </c>
      <c r="AZ23" s="1"/>
      <c r="BA23" s="1" t="s">
        <v>64</v>
      </c>
      <c r="BB23" s="19">
        <v>15847</v>
      </c>
    </row>
    <row r="24" spans="2:69" x14ac:dyDescent="0.35">
      <c r="B24" s="12"/>
      <c r="C24" s="12"/>
      <c r="D24" s="12">
        <f>2747+948+2381</f>
        <v>6076</v>
      </c>
      <c r="E24" s="25">
        <v>4403</v>
      </c>
      <c r="F24" s="25">
        <v>4534</v>
      </c>
      <c r="G24" s="25">
        <v>4491</v>
      </c>
      <c r="H24" s="25">
        <v>4923</v>
      </c>
      <c r="I24" s="25">
        <v>6275</v>
      </c>
      <c r="J24" s="25">
        <v>7375</v>
      </c>
      <c r="K24" s="25">
        <v>10314</v>
      </c>
      <c r="L24" s="25">
        <v>14354</v>
      </c>
      <c r="M24" s="25">
        <v>13859</v>
      </c>
      <c r="N24" s="25">
        <v>17479</v>
      </c>
      <c r="O24" s="25">
        <v>21783</v>
      </c>
      <c r="P24" s="25">
        <v>23221</v>
      </c>
      <c r="Q24" s="25">
        <v>21483</v>
      </c>
      <c r="R24" s="25">
        <v>24079</v>
      </c>
      <c r="S24" s="25">
        <v>25471</v>
      </c>
      <c r="T24" s="25">
        <v>22831</v>
      </c>
      <c r="U24" s="25">
        <v>25850</v>
      </c>
      <c r="V24" s="25" t="e">
        <f>SUM(#REF!)</f>
        <v>#REF!</v>
      </c>
      <c r="W24" s="25">
        <v>25740</v>
      </c>
      <c r="X24" s="25" t="e">
        <f>SUM(#REF!)</f>
        <v>#REF!</v>
      </c>
      <c r="Y24" s="25" t="e">
        <f>SUM(#REF!)</f>
        <v>#REF!</v>
      </c>
      <c r="Z24" s="34" t="e">
        <f>SUM(#REF!)</f>
        <v>#REF!</v>
      </c>
      <c r="AA24" s="43" t="e">
        <f t="shared" ref="AA24" si="5">SUM(#REF!)</f>
        <v>#REF!</v>
      </c>
      <c r="AB24" s="26" t="e">
        <f t="shared" ref="AB24:AR24" si="6">AA24*IF($CC$10=1,1+$BZ$10,IF($CC$10=2,1+$CA$10,IF($CC$10=3,1+$CB$10,0)))</f>
        <v>#REF!</v>
      </c>
      <c r="AC24" s="26" t="e">
        <f t="shared" si="6"/>
        <v>#REF!</v>
      </c>
      <c r="AD24" s="26" t="e">
        <f t="shared" si="6"/>
        <v>#REF!</v>
      </c>
      <c r="AE24" s="26" t="e">
        <f t="shared" si="6"/>
        <v>#REF!</v>
      </c>
      <c r="AF24" s="26" t="e">
        <f t="shared" si="6"/>
        <v>#REF!</v>
      </c>
      <c r="AG24" s="26" t="e">
        <f t="shared" si="6"/>
        <v>#REF!</v>
      </c>
      <c r="AH24" s="26" t="e">
        <f t="shared" si="6"/>
        <v>#REF!</v>
      </c>
      <c r="AI24" s="26" t="e">
        <f t="shared" si="6"/>
        <v>#REF!</v>
      </c>
      <c r="AJ24" s="26" t="e">
        <f t="shared" si="6"/>
        <v>#REF!</v>
      </c>
      <c r="AK24" s="26" t="e">
        <f t="shared" si="6"/>
        <v>#REF!</v>
      </c>
      <c r="AL24" s="26" t="e">
        <f t="shared" si="6"/>
        <v>#REF!</v>
      </c>
      <c r="AM24" s="26" t="e">
        <f t="shared" si="6"/>
        <v>#REF!</v>
      </c>
      <c r="AN24" s="26" t="e">
        <f t="shared" si="6"/>
        <v>#REF!</v>
      </c>
      <c r="AO24" s="26" t="e">
        <f t="shared" si="6"/>
        <v>#REF!</v>
      </c>
      <c r="AP24" s="26" t="e">
        <f t="shared" si="6"/>
        <v>#REF!</v>
      </c>
      <c r="AQ24" s="26" t="e">
        <f t="shared" si="6"/>
        <v>#REF!</v>
      </c>
      <c r="AR24" s="26" t="e">
        <f t="shared" si="6"/>
        <v>#REF!</v>
      </c>
      <c r="AW24" s="22"/>
      <c r="AX24" s="1" t="s">
        <v>181</v>
      </c>
      <c r="AY24" s="46" t="e">
        <f>NPV($BZ$22,$BB$42:$FF$42)+$CC$25-$CC$26</f>
        <v>#REF!</v>
      </c>
      <c r="AZ24" s="1"/>
      <c r="BA24" s="1" t="s">
        <v>185</v>
      </c>
      <c r="BB24" s="34">
        <f>$CC$23*$CC$22</f>
        <v>0</v>
      </c>
    </row>
    <row r="25" spans="2:69" x14ac:dyDescent="0.35">
      <c r="B25" s="12"/>
      <c r="C25" s="12"/>
      <c r="D25" s="12">
        <v>0</v>
      </c>
      <c r="E25" s="25">
        <v>0</v>
      </c>
      <c r="F25" s="25">
        <v>0</v>
      </c>
      <c r="G25" s="25">
        <v>0</v>
      </c>
      <c r="H25" s="25">
        <v>0</v>
      </c>
      <c r="I25" s="25">
        <v>0</v>
      </c>
      <c r="J25" s="25">
        <v>0</v>
      </c>
      <c r="K25" s="25">
        <v>0</v>
      </c>
      <c r="L25" s="25">
        <v>0</v>
      </c>
      <c r="M25" s="25">
        <v>0</v>
      </c>
      <c r="N25" s="25">
        <v>4958</v>
      </c>
      <c r="O25" s="25">
        <v>19168</v>
      </c>
      <c r="P25" s="25">
        <v>30945</v>
      </c>
      <c r="Q25" s="25">
        <v>31980</v>
      </c>
      <c r="R25" s="25">
        <v>30283</v>
      </c>
      <c r="S25" s="25">
        <v>23227</v>
      </c>
      <c r="T25" s="25">
        <v>20628</v>
      </c>
      <c r="U25" s="25">
        <v>19222</v>
      </c>
      <c r="V25" s="25" t="e">
        <f t="shared" ref="V25" si="7">SUM(#REF!)</f>
        <v>#REF!</v>
      </c>
      <c r="W25" s="25">
        <v>21280</v>
      </c>
      <c r="X25" s="25" t="e">
        <f t="shared" ref="X25" si="8">SUM(#REF!)</f>
        <v>#REF!</v>
      </c>
      <c r="Y25" s="25" t="e">
        <f t="shared" ref="Y25" si="9">SUM(#REF!)</f>
        <v>#REF!</v>
      </c>
      <c r="Z25" s="34" t="e">
        <f t="shared" ref="Z25" si="10">SUM(#REF!)</f>
        <v>#REF!</v>
      </c>
      <c r="AA25" s="43" t="e">
        <f t="shared" ref="AA25" si="11">SUM(#REF!)</f>
        <v>#REF!</v>
      </c>
      <c r="AB25" s="26" t="e">
        <f t="shared" ref="AB25:AR25" si="12">AA25*IF($CC$11=1,1+$BZ$11,IF($CC$11=2,1+$CA$11,IF($CC$11=3,1+$CB$11,0)))</f>
        <v>#REF!</v>
      </c>
      <c r="AC25" s="26" t="e">
        <f t="shared" si="12"/>
        <v>#REF!</v>
      </c>
      <c r="AD25" s="26" t="e">
        <f t="shared" si="12"/>
        <v>#REF!</v>
      </c>
      <c r="AE25" s="26" t="e">
        <f t="shared" si="12"/>
        <v>#REF!</v>
      </c>
      <c r="AF25" s="26" t="e">
        <f t="shared" si="12"/>
        <v>#REF!</v>
      </c>
      <c r="AG25" s="26" t="e">
        <f t="shared" si="12"/>
        <v>#REF!</v>
      </c>
      <c r="AH25" s="26" t="e">
        <f t="shared" si="12"/>
        <v>#REF!</v>
      </c>
      <c r="AI25" s="26" t="e">
        <f t="shared" si="12"/>
        <v>#REF!</v>
      </c>
      <c r="AJ25" s="26" t="e">
        <f t="shared" si="12"/>
        <v>#REF!</v>
      </c>
      <c r="AK25" s="26" t="e">
        <f t="shared" si="12"/>
        <v>#REF!</v>
      </c>
      <c r="AL25" s="26" t="e">
        <f t="shared" si="12"/>
        <v>#REF!</v>
      </c>
      <c r="AM25" s="26" t="e">
        <f t="shared" si="12"/>
        <v>#REF!</v>
      </c>
      <c r="AN25" s="26" t="e">
        <f t="shared" si="12"/>
        <v>#REF!</v>
      </c>
      <c r="AO25" s="26" t="e">
        <f t="shared" si="12"/>
        <v>#REF!</v>
      </c>
      <c r="AP25" s="26" t="e">
        <f t="shared" si="12"/>
        <v>#REF!</v>
      </c>
      <c r="AQ25" s="26" t="e">
        <f t="shared" si="12"/>
        <v>#REF!</v>
      </c>
      <c r="AR25" s="26" t="e">
        <f t="shared" si="12"/>
        <v>#REF!</v>
      </c>
      <c r="AW25" s="22"/>
      <c r="AX25" s="1" t="s">
        <v>64</v>
      </c>
      <c r="AY25" s="25">
        <f>$BA$44</f>
        <v>0</v>
      </c>
      <c r="AZ25" s="1"/>
      <c r="BA25" s="1" t="s">
        <v>75</v>
      </c>
      <c r="BB25" s="20">
        <f>$X$64</f>
        <v>0</v>
      </c>
    </row>
    <row r="26" spans="2:69" x14ac:dyDescent="0.35">
      <c r="B26" s="12"/>
      <c r="C26" s="12"/>
      <c r="D26" s="12">
        <v>809</v>
      </c>
      <c r="E26" s="25">
        <v>387</v>
      </c>
      <c r="F26" s="25">
        <f>143+4+527</f>
        <v>674</v>
      </c>
      <c r="G26" s="25">
        <f>345+691</f>
        <v>1036</v>
      </c>
      <c r="H26" s="25">
        <f>1306+951</f>
        <v>2257</v>
      </c>
      <c r="I26" s="25">
        <f>4540+1126</f>
        <v>5666</v>
      </c>
      <c r="J26" s="25">
        <f>7676+1100</f>
        <v>8776</v>
      </c>
      <c r="K26" s="25">
        <f>8305+1260</f>
        <v>9565</v>
      </c>
      <c r="L26" s="25">
        <f>9153+1694</f>
        <v>10847</v>
      </c>
      <c r="M26" s="25">
        <f>1475+8091</f>
        <v>9566</v>
      </c>
      <c r="N26" s="25">
        <f>1814+8274</f>
        <v>10088</v>
      </c>
      <c r="O26" s="25">
        <f>7453+4474</f>
        <v>11927</v>
      </c>
      <c r="P26" s="25">
        <f>5145+5615</f>
        <v>10760</v>
      </c>
      <c r="Q26" s="25">
        <f>4411+5706</f>
        <v>10117</v>
      </c>
      <c r="R26" s="25">
        <f>6093+2286</f>
        <v>8379</v>
      </c>
      <c r="S26" s="25">
        <v>10067</v>
      </c>
      <c r="T26" s="25">
        <v>11132</v>
      </c>
      <c r="U26" s="25">
        <v>12863</v>
      </c>
      <c r="V26" s="25" t="e">
        <f t="shared" ref="V26" si="13">SUM(#REF!)</f>
        <v>#REF!</v>
      </c>
      <c r="W26" s="25">
        <v>24482</v>
      </c>
      <c r="X26" s="25" t="e">
        <f t="shared" ref="X26" si="14">SUM(#REF!)</f>
        <v>#REF!</v>
      </c>
      <c r="Y26" s="25" t="e">
        <f t="shared" ref="Y26" si="15">SUM(#REF!)</f>
        <v>#REF!</v>
      </c>
      <c r="Z26" s="34" t="e">
        <f>SUM(#REF!)</f>
        <v>#REF!</v>
      </c>
      <c r="AA26" s="43" t="e">
        <f t="shared" ref="AA26" si="16">SUM(#REF!)</f>
        <v>#REF!</v>
      </c>
      <c r="AB26" s="26" t="e">
        <f t="shared" ref="AB26:AR26" si="17">AA26*IF($CC$12=1,1+$BZ$12,IF($CC$12=2,1+$CA$12,IF($CC$12=3,1+$CB$12,0)))</f>
        <v>#REF!</v>
      </c>
      <c r="AC26" s="26" t="e">
        <f t="shared" si="17"/>
        <v>#REF!</v>
      </c>
      <c r="AD26" s="26" t="e">
        <f t="shared" si="17"/>
        <v>#REF!</v>
      </c>
      <c r="AE26" s="26" t="e">
        <f t="shared" si="17"/>
        <v>#REF!</v>
      </c>
      <c r="AF26" s="26" t="e">
        <f t="shared" si="17"/>
        <v>#REF!</v>
      </c>
      <c r="AG26" s="26" t="e">
        <f t="shared" si="17"/>
        <v>#REF!</v>
      </c>
      <c r="AH26" s="26" t="e">
        <f t="shared" si="17"/>
        <v>#REF!</v>
      </c>
      <c r="AI26" s="26" t="e">
        <f t="shared" si="17"/>
        <v>#REF!</v>
      </c>
      <c r="AJ26" s="26" t="e">
        <f t="shared" si="17"/>
        <v>#REF!</v>
      </c>
      <c r="AK26" s="26" t="e">
        <f t="shared" si="17"/>
        <v>#REF!</v>
      </c>
      <c r="AL26" s="26" t="e">
        <f t="shared" si="17"/>
        <v>#REF!</v>
      </c>
      <c r="AM26" s="26" t="e">
        <f t="shared" si="17"/>
        <v>#REF!</v>
      </c>
      <c r="AN26" s="26" t="e">
        <f t="shared" si="17"/>
        <v>#REF!</v>
      </c>
      <c r="AO26" s="26" t="e">
        <f t="shared" si="17"/>
        <v>#REF!</v>
      </c>
      <c r="AP26" s="26" t="e">
        <f t="shared" si="17"/>
        <v>#REF!</v>
      </c>
      <c r="AQ26" s="26" t="e">
        <f t="shared" si="17"/>
        <v>#REF!</v>
      </c>
      <c r="AR26" s="26" t="e">
        <f t="shared" si="17"/>
        <v>#REF!</v>
      </c>
      <c r="AW26" s="22"/>
      <c r="AX26" s="1" t="s">
        <v>182</v>
      </c>
      <c r="AY26" s="46" t="e">
        <f>$BZ$24/$BZ$25</f>
        <v>#DIV/0!</v>
      </c>
      <c r="AZ26" s="1"/>
      <c r="BA26" s="1" t="s">
        <v>86</v>
      </c>
      <c r="BB26" s="20">
        <f>$X$76</f>
        <v>0</v>
      </c>
    </row>
    <row r="27" spans="2:69" x14ac:dyDescent="0.35">
      <c r="B27" s="12"/>
      <c r="C27" s="12"/>
      <c r="D27" s="12"/>
      <c r="E27" s="25"/>
      <c r="F27" s="25"/>
      <c r="G27" s="25"/>
      <c r="H27" s="25"/>
      <c r="I27" s="25"/>
      <c r="J27" s="25"/>
      <c r="K27" s="25"/>
      <c r="L27" s="25"/>
      <c r="M27" s="25"/>
      <c r="N27" s="25"/>
      <c r="O27" s="25"/>
      <c r="P27" s="25"/>
      <c r="Q27" s="25"/>
      <c r="R27" s="25"/>
      <c r="S27" s="25"/>
      <c r="T27" s="25"/>
      <c r="U27" s="25"/>
      <c r="V27" s="25"/>
      <c r="W27" s="25"/>
      <c r="X27" s="25"/>
      <c r="Y27" s="25"/>
      <c r="Z27" s="34"/>
      <c r="AA27" s="43" t="e">
        <f t="shared" ref="AA27" si="18">SUM(#REF!)</f>
        <v>#REF!</v>
      </c>
      <c r="AW27" s="22"/>
      <c r="AX27" s="1" t="s">
        <v>183</v>
      </c>
      <c r="AY27" s="46">
        <f>$BZ$26-$CC$22</f>
        <v>0</v>
      </c>
      <c r="AZ27" s="1"/>
      <c r="BA27" s="1" t="s">
        <v>186</v>
      </c>
      <c r="BB27" s="20">
        <f>$CC$24+$CC$25-$CC$26</f>
        <v>0</v>
      </c>
    </row>
    <row r="28" spans="2:69" x14ac:dyDescent="0.35">
      <c r="B28" s="9"/>
      <c r="C28" s="9"/>
      <c r="D28" s="9">
        <f t="shared" ref="D28:M28" si="19">SUM(D24:D26)+D20</f>
        <v>6885</v>
      </c>
      <c r="E28" s="26">
        <f t="shared" si="19"/>
        <v>4790</v>
      </c>
      <c r="F28" s="26">
        <f>SUM(F24:F26)+F20</f>
        <v>5208</v>
      </c>
      <c r="G28" s="26">
        <f t="shared" si="19"/>
        <v>5527</v>
      </c>
      <c r="H28" s="26">
        <f t="shared" si="19"/>
        <v>7180</v>
      </c>
      <c r="I28" s="26">
        <f t="shared" si="19"/>
        <v>11941</v>
      </c>
      <c r="J28" s="26">
        <f t="shared" si="19"/>
        <v>16151</v>
      </c>
      <c r="K28" s="26">
        <f>SUM(K24:K26)+K20</f>
        <v>20002</v>
      </c>
      <c r="L28" s="26">
        <f t="shared" si="19"/>
        <v>31943</v>
      </c>
      <c r="M28" s="26">
        <f t="shared" si="19"/>
        <v>36458</v>
      </c>
      <c r="N28" s="26">
        <f>SUM(N24:N26)+N20</f>
        <v>57704</v>
      </c>
      <c r="O28" s="26">
        <f t="shared" ref="O28:W28" si="20">SUM(O24:O26)+O20</f>
        <v>98876</v>
      </c>
      <c r="P28" s="26">
        <f t="shared" si="20"/>
        <v>143618</v>
      </c>
      <c r="Q28" s="26">
        <f t="shared" si="20"/>
        <v>154859</v>
      </c>
      <c r="R28" s="26">
        <f>SUM(R24:R26)+R20</f>
        <v>164732</v>
      </c>
      <c r="S28" s="26">
        <f t="shared" si="20"/>
        <v>213806</v>
      </c>
      <c r="T28" s="26">
        <f t="shared" si="20"/>
        <v>191291</v>
      </c>
      <c r="U28" s="26">
        <f>SUM(U24:U26)+U20</f>
        <v>199254</v>
      </c>
      <c r="V28" s="26" t="e">
        <f>SUM(V24:V26)+V20</f>
        <v>#REF!</v>
      </c>
      <c r="W28" s="26">
        <f t="shared" si="20"/>
        <v>213883</v>
      </c>
      <c r="X28" s="26" t="e">
        <f>SUM(X24:X26)+X20</f>
        <v>#REF!</v>
      </c>
      <c r="Y28" s="26" t="e">
        <f>SUM(Y24:Y26)+Y20</f>
        <v>#REF!</v>
      </c>
      <c r="Z28" s="30" t="e">
        <f>SUM(Z24:Z26)+Z20</f>
        <v>#REF!</v>
      </c>
      <c r="AA28" s="43" t="e">
        <f t="shared" ref="AA28" si="21">SUM(#REF!)</f>
        <v>#REF!</v>
      </c>
      <c r="AB28" s="26" t="e">
        <f>SUM(AB24:AB26)+AB20</f>
        <v>#REF!</v>
      </c>
      <c r="AC28" s="26" t="e">
        <f>SUM(AC24:AC26)+AC20</f>
        <v>#REF!</v>
      </c>
      <c r="AD28" s="26" t="e">
        <f>SUM(AD24:AD26)+AD20</f>
        <v>#REF!</v>
      </c>
      <c r="AE28" s="26" t="e">
        <f t="shared" ref="AE28:AR28" si="22">SUM(AE24:AE26)+AE20</f>
        <v>#REF!</v>
      </c>
      <c r="AF28" s="26" t="e">
        <f t="shared" si="22"/>
        <v>#REF!</v>
      </c>
      <c r="AG28" s="26" t="e">
        <f t="shared" si="22"/>
        <v>#REF!</v>
      </c>
      <c r="AH28" s="26" t="e">
        <f t="shared" si="22"/>
        <v>#REF!</v>
      </c>
      <c r="AI28" s="26" t="e">
        <f t="shared" si="22"/>
        <v>#REF!</v>
      </c>
      <c r="AJ28" s="26" t="e">
        <f t="shared" si="22"/>
        <v>#REF!</v>
      </c>
      <c r="AK28" s="26" t="e">
        <f t="shared" si="22"/>
        <v>#REF!</v>
      </c>
      <c r="AL28" s="26" t="e">
        <f t="shared" si="22"/>
        <v>#REF!</v>
      </c>
      <c r="AM28" s="26" t="e">
        <f t="shared" si="22"/>
        <v>#REF!</v>
      </c>
      <c r="AN28" s="26" t="e">
        <f t="shared" si="22"/>
        <v>#REF!</v>
      </c>
      <c r="AO28" s="26" t="e">
        <f t="shared" si="22"/>
        <v>#REF!</v>
      </c>
      <c r="AP28" s="26" t="e">
        <f t="shared" si="22"/>
        <v>#REF!</v>
      </c>
      <c r="AQ28" s="26" t="e">
        <f t="shared" si="22"/>
        <v>#REF!</v>
      </c>
      <c r="AR28" s="26" t="e">
        <f t="shared" si="22"/>
        <v>#REF!</v>
      </c>
      <c r="AW28" s="22"/>
      <c r="AY28" s="7" t="e">
        <f>$BZ$27/$CC$22</f>
        <v>#DIV/0!</v>
      </c>
      <c r="AZ28" s="1"/>
      <c r="BA28" s="1"/>
      <c r="BB28" s="19"/>
    </row>
    <row r="29" spans="2:69" x14ac:dyDescent="0.35">
      <c r="B29" s="9"/>
      <c r="C29" s="9"/>
      <c r="D29" s="9">
        <v>1098</v>
      </c>
      <c r="E29" s="26">
        <f>343+230</f>
        <v>573</v>
      </c>
      <c r="F29" s="26">
        <f>307+227</f>
        <v>534</v>
      </c>
      <c r="G29" s="26">
        <f>644+36</f>
        <v>680</v>
      </c>
      <c r="H29" s="26">
        <f>821+278</f>
        <v>1099</v>
      </c>
      <c r="I29" s="26">
        <f>899+1091</f>
        <v>1990</v>
      </c>
      <c r="J29" s="26">
        <f>1885+1279</f>
        <v>3164</v>
      </c>
      <c r="K29" s="26">
        <f>2496+1508</f>
        <v>4004</v>
      </c>
      <c r="L29" s="26">
        <f>2208+3340</f>
        <v>5548</v>
      </c>
      <c r="M29" s="26">
        <f>2411+4036</f>
        <v>6447</v>
      </c>
      <c r="N29" s="26">
        <f>2573+4948</f>
        <v>7521</v>
      </c>
      <c r="O29" s="26">
        <v>9373</v>
      </c>
      <c r="P29" s="26">
        <v>12890</v>
      </c>
      <c r="Q29" s="26">
        <v>16051</v>
      </c>
      <c r="R29" s="26">
        <v>18063</v>
      </c>
      <c r="S29" s="26">
        <v>19909</v>
      </c>
      <c r="T29" s="26">
        <v>24348</v>
      </c>
      <c r="U29" s="26">
        <v>29980</v>
      </c>
      <c r="V29" s="25" t="e">
        <f>SUM(#REF!)</f>
        <v>#REF!</v>
      </c>
      <c r="W29" s="25" t="e">
        <f>SUM(#REF!)</f>
        <v>#REF!</v>
      </c>
      <c r="X29" s="25" t="e">
        <f>SUM(#REF!)</f>
        <v>#REF!</v>
      </c>
      <c r="Y29" s="25" t="e">
        <f>SUM(#REF!)</f>
        <v>#REF!</v>
      </c>
      <c r="Z29" s="34" t="e">
        <f>SUM(#REF!)</f>
        <v>#REF!</v>
      </c>
      <c r="AA29" s="43" t="e">
        <f t="shared" ref="AA29" si="23">SUM(#REF!)</f>
        <v>#REF!</v>
      </c>
      <c r="AB29" s="26" t="e">
        <f t="shared" ref="AB29:AR29" si="24">AA29*IF($CC$13=1,(1+$BZ$13),IF($CC$13=2,(1+$CA$13),IF($CC$13=3,(1+$CB$13),)))</f>
        <v>#REF!</v>
      </c>
      <c r="AC29" s="26" t="e">
        <f t="shared" si="24"/>
        <v>#REF!</v>
      </c>
      <c r="AD29" s="26" t="e">
        <f t="shared" si="24"/>
        <v>#REF!</v>
      </c>
      <c r="AE29" s="26" t="e">
        <f t="shared" si="24"/>
        <v>#REF!</v>
      </c>
      <c r="AF29" s="26" t="e">
        <f t="shared" si="24"/>
        <v>#REF!</v>
      </c>
      <c r="AG29" s="26" t="e">
        <f t="shared" si="24"/>
        <v>#REF!</v>
      </c>
      <c r="AH29" s="26" t="e">
        <f t="shared" si="24"/>
        <v>#REF!</v>
      </c>
      <c r="AI29" s="26" t="e">
        <f t="shared" si="24"/>
        <v>#REF!</v>
      </c>
      <c r="AJ29" s="26" t="e">
        <f t="shared" si="24"/>
        <v>#REF!</v>
      </c>
      <c r="AK29" s="26" t="e">
        <f t="shared" si="24"/>
        <v>#REF!</v>
      </c>
      <c r="AL29" s="26" t="e">
        <f t="shared" si="24"/>
        <v>#REF!</v>
      </c>
      <c r="AM29" s="26" t="e">
        <f t="shared" si="24"/>
        <v>#REF!</v>
      </c>
      <c r="AN29" s="26" t="e">
        <f t="shared" si="24"/>
        <v>#REF!</v>
      </c>
      <c r="AO29" s="26" t="e">
        <f t="shared" si="24"/>
        <v>#REF!</v>
      </c>
      <c r="AP29" s="26" t="e">
        <f t="shared" si="24"/>
        <v>#REF!</v>
      </c>
      <c r="AQ29" s="26" t="e">
        <f t="shared" si="24"/>
        <v>#REF!</v>
      </c>
      <c r="AR29" s="26" t="e">
        <f t="shared" si="24"/>
        <v>#REF!</v>
      </c>
      <c r="AX29" s="52"/>
      <c r="AY29" s="52"/>
      <c r="AZ29" s="52"/>
      <c r="BA29" s="52"/>
      <c r="BB29" s="52"/>
    </row>
    <row r="30" spans="2:69" x14ac:dyDescent="0.35">
      <c r="B30" s="10">
        <v>5941</v>
      </c>
      <c r="C30" s="10">
        <v>6134</v>
      </c>
      <c r="D30" s="10">
        <f>+D28+D29</f>
        <v>7983</v>
      </c>
      <c r="E30" s="35">
        <f t="shared" ref="E30:W30" si="25">+E28+E29</f>
        <v>5363</v>
      </c>
      <c r="F30" s="35">
        <f t="shared" si="25"/>
        <v>5742</v>
      </c>
      <c r="G30" s="35">
        <f t="shared" si="25"/>
        <v>6207</v>
      </c>
      <c r="H30" s="35">
        <f t="shared" si="25"/>
        <v>8279</v>
      </c>
      <c r="I30" s="35">
        <f t="shared" si="25"/>
        <v>13931</v>
      </c>
      <c r="J30" s="35">
        <f t="shared" si="25"/>
        <v>19315</v>
      </c>
      <c r="K30" s="35">
        <v>24006</v>
      </c>
      <c r="L30" s="35">
        <f t="shared" si="25"/>
        <v>37491</v>
      </c>
      <c r="M30" s="35">
        <f t="shared" si="25"/>
        <v>42905</v>
      </c>
      <c r="N30" s="35">
        <f t="shared" si="25"/>
        <v>65225</v>
      </c>
      <c r="O30" s="35">
        <f t="shared" si="25"/>
        <v>108249</v>
      </c>
      <c r="P30" s="35">
        <f t="shared" si="25"/>
        <v>156508</v>
      </c>
      <c r="Q30" s="35">
        <f t="shared" si="25"/>
        <v>170910</v>
      </c>
      <c r="R30" s="35">
        <f t="shared" si="25"/>
        <v>182795</v>
      </c>
      <c r="S30" s="35">
        <f t="shared" si="25"/>
        <v>233715</v>
      </c>
      <c r="T30" s="35">
        <f t="shared" si="25"/>
        <v>215639</v>
      </c>
      <c r="U30" s="35">
        <f t="shared" si="25"/>
        <v>229234</v>
      </c>
      <c r="V30" s="35" t="e">
        <f>+V28+V29</f>
        <v>#REF!</v>
      </c>
      <c r="W30" s="35" t="e">
        <f t="shared" si="25"/>
        <v>#REF!</v>
      </c>
      <c r="X30" s="35" t="e">
        <f>+X28+X29</f>
        <v>#REF!</v>
      </c>
      <c r="Y30" s="35" t="e">
        <f>+Y28+Y29</f>
        <v>#REF!</v>
      </c>
      <c r="Z30" s="36" t="e">
        <f>+Z28+Z29</f>
        <v>#REF!</v>
      </c>
      <c r="AA30" s="44" t="e">
        <f t="shared" ref="AA30" si="26">SUM(#REF!)</f>
        <v>#REF!</v>
      </c>
      <c r="AB30" s="26" t="e">
        <f>SUM(AB28:AB29)</f>
        <v>#REF!</v>
      </c>
      <c r="AC30" s="26" t="e">
        <f t="shared" ref="AC30:AR30" si="27">SUM(AC28:AC29)</f>
        <v>#REF!</v>
      </c>
      <c r="AD30" s="26" t="e">
        <f t="shared" si="27"/>
        <v>#REF!</v>
      </c>
      <c r="AE30" s="26" t="e">
        <f t="shared" si="27"/>
        <v>#REF!</v>
      </c>
      <c r="AF30" s="26" t="e">
        <f t="shared" si="27"/>
        <v>#REF!</v>
      </c>
      <c r="AG30" s="26" t="e">
        <f t="shared" si="27"/>
        <v>#REF!</v>
      </c>
      <c r="AH30" s="26" t="e">
        <f t="shared" si="27"/>
        <v>#REF!</v>
      </c>
      <c r="AI30" s="26" t="e">
        <f t="shared" si="27"/>
        <v>#REF!</v>
      </c>
      <c r="AJ30" s="26" t="e">
        <f t="shared" si="27"/>
        <v>#REF!</v>
      </c>
      <c r="AK30" s="26" t="e">
        <f t="shared" si="27"/>
        <v>#REF!</v>
      </c>
      <c r="AL30" s="26" t="e">
        <f t="shared" si="27"/>
        <v>#REF!</v>
      </c>
      <c r="AM30" s="26" t="e">
        <f t="shared" si="27"/>
        <v>#REF!</v>
      </c>
      <c r="AN30" s="26" t="e">
        <f t="shared" si="27"/>
        <v>#REF!</v>
      </c>
      <c r="AO30" s="26" t="e">
        <f t="shared" si="27"/>
        <v>#REF!</v>
      </c>
      <c r="AP30" s="26" t="e">
        <f t="shared" si="27"/>
        <v>#REF!</v>
      </c>
      <c r="AQ30" s="26" t="e">
        <f t="shared" si="27"/>
        <v>#REF!</v>
      </c>
      <c r="AR30" s="26" t="e">
        <f t="shared" si="27"/>
        <v>#REF!</v>
      </c>
    </row>
    <row r="31" spans="2:69" x14ac:dyDescent="0.35">
      <c r="B31" s="9"/>
      <c r="C31" s="9"/>
      <c r="D31" s="9"/>
      <c r="E31" s="26"/>
      <c r="F31" s="26"/>
      <c r="G31" s="26"/>
      <c r="H31" s="26"/>
      <c r="I31" s="26"/>
      <c r="J31" s="26"/>
      <c r="K31" s="26"/>
      <c r="L31" s="26"/>
      <c r="M31" s="26"/>
      <c r="N31" s="26"/>
      <c r="O31" s="26"/>
      <c r="P31" s="26"/>
      <c r="Q31" s="26"/>
      <c r="R31" s="26"/>
      <c r="S31" s="26"/>
      <c r="T31" s="26"/>
      <c r="U31" s="26"/>
      <c r="V31" s="25">
        <v>148164</v>
      </c>
      <c r="W31" s="25">
        <v>144996</v>
      </c>
      <c r="X31" s="25" t="e">
        <f>SUM(#REF!)</f>
        <v>#REF!</v>
      </c>
      <c r="Y31" s="25" t="e">
        <f>SUM(#REF!)</f>
        <v>#REF!</v>
      </c>
      <c r="Z31" s="34" t="e">
        <f>SUM(#REF!)</f>
        <v>#REF!</v>
      </c>
      <c r="AA31" s="43" t="e">
        <f t="shared" ref="AA31" si="28">SUM(#REF!)</f>
        <v>#REF!</v>
      </c>
      <c r="AB31" s="26" t="e">
        <f t="shared" ref="AB31:AR31" si="29">AB28-(IF($CC$15=1,AB28*$BZ$15,IF($CC$15=2,AB28*$CA$15,IF($CC$15=3,AB28*$CB$15))))</f>
        <v>#REF!</v>
      </c>
      <c r="AC31" s="26" t="e">
        <f t="shared" si="29"/>
        <v>#REF!</v>
      </c>
      <c r="AD31" s="26" t="e">
        <f t="shared" si="29"/>
        <v>#REF!</v>
      </c>
      <c r="AE31" s="26" t="e">
        <f t="shared" si="29"/>
        <v>#REF!</v>
      </c>
      <c r="AF31" s="26" t="e">
        <f t="shared" si="29"/>
        <v>#REF!</v>
      </c>
      <c r="AG31" s="26" t="e">
        <f t="shared" si="29"/>
        <v>#REF!</v>
      </c>
      <c r="AH31" s="26" t="e">
        <f t="shared" si="29"/>
        <v>#REF!</v>
      </c>
      <c r="AI31" s="26" t="e">
        <f t="shared" si="29"/>
        <v>#REF!</v>
      </c>
      <c r="AJ31" s="26" t="e">
        <f t="shared" si="29"/>
        <v>#REF!</v>
      </c>
      <c r="AK31" s="26" t="e">
        <f t="shared" si="29"/>
        <v>#REF!</v>
      </c>
      <c r="AL31" s="26" t="e">
        <f t="shared" si="29"/>
        <v>#REF!</v>
      </c>
      <c r="AM31" s="26" t="e">
        <f t="shared" si="29"/>
        <v>#REF!</v>
      </c>
      <c r="AN31" s="26" t="e">
        <f t="shared" si="29"/>
        <v>#REF!</v>
      </c>
      <c r="AO31" s="26" t="e">
        <f t="shared" si="29"/>
        <v>#REF!</v>
      </c>
      <c r="AP31" s="26" t="e">
        <f t="shared" si="29"/>
        <v>#REF!</v>
      </c>
      <c r="AQ31" s="26" t="e">
        <f t="shared" si="29"/>
        <v>#REF!</v>
      </c>
      <c r="AR31" s="26" t="e">
        <f t="shared" si="29"/>
        <v>#REF!</v>
      </c>
    </row>
    <row r="32" spans="2:69" x14ac:dyDescent="0.35">
      <c r="B32" s="9"/>
      <c r="C32" s="9"/>
      <c r="D32" s="9"/>
      <c r="E32" s="26"/>
      <c r="F32" s="26"/>
      <c r="G32" s="26"/>
      <c r="H32" s="26"/>
      <c r="I32" s="26"/>
      <c r="J32" s="26"/>
      <c r="K32" s="26"/>
      <c r="L32" s="26"/>
      <c r="M32" s="26"/>
      <c r="N32" s="26"/>
      <c r="O32" s="26"/>
      <c r="P32" s="26"/>
      <c r="Q32" s="26"/>
      <c r="R32" s="26"/>
      <c r="S32" s="26"/>
      <c r="T32" s="26"/>
      <c r="U32" s="26"/>
      <c r="V32" s="25">
        <v>15592</v>
      </c>
      <c r="W32" s="25">
        <v>16786</v>
      </c>
      <c r="X32" s="25" t="e">
        <f>SUM(#REF!)</f>
        <v>#REF!</v>
      </c>
      <c r="Y32" s="25" t="e">
        <f>SUM(#REF!)</f>
        <v>#REF!</v>
      </c>
      <c r="Z32" s="34" t="e">
        <f>SUM(#REF!)</f>
        <v>#REF!</v>
      </c>
      <c r="AA32" s="43" t="e">
        <f t="shared" ref="AA32" si="30">SUM(#REF!)</f>
        <v>#REF!</v>
      </c>
      <c r="AB32" s="26" t="e">
        <f t="shared" ref="AB32:AR32" si="31">AB29-(IF($CC$14=1,AB29*$BZ$14,IF($CC$14=2,AB29*$CA$14,IF($CC$14=3,AB29*$CB$14))))</f>
        <v>#REF!</v>
      </c>
      <c r="AC32" s="26" t="e">
        <f t="shared" si="31"/>
        <v>#REF!</v>
      </c>
      <c r="AD32" s="26" t="e">
        <f t="shared" si="31"/>
        <v>#REF!</v>
      </c>
      <c r="AE32" s="26" t="e">
        <f t="shared" si="31"/>
        <v>#REF!</v>
      </c>
      <c r="AF32" s="26" t="e">
        <f t="shared" si="31"/>
        <v>#REF!</v>
      </c>
      <c r="AG32" s="26" t="e">
        <f t="shared" si="31"/>
        <v>#REF!</v>
      </c>
      <c r="AH32" s="26" t="e">
        <f t="shared" si="31"/>
        <v>#REF!</v>
      </c>
      <c r="AI32" s="26" t="e">
        <f t="shared" si="31"/>
        <v>#REF!</v>
      </c>
      <c r="AJ32" s="26" t="e">
        <f t="shared" si="31"/>
        <v>#REF!</v>
      </c>
      <c r="AK32" s="26" t="e">
        <f t="shared" si="31"/>
        <v>#REF!</v>
      </c>
      <c r="AL32" s="26" t="e">
        <f t="shared" si="31"/>
        <v>#REF!</v>
      </c>
      <c r="AM32" s="26" t="e">
        <f t="shared" si="31"/>
        <v>#REF!</v>
      </c>
      <c r="AN32" s="26" t="e">
        <f t="shared" si="31"/>
        <v>#REF!</v>
      </c>
      <c r="AO32" s="26" t="e">
        <f t="shared" si="31"/>
        <v>#REF!</v>
      </c>
      <c r="AP32" s="26" t="e">
        <f t="shared" si="31"/>
        <v>#REF!</v>
      </c>
      <c r="AQ32" s="26" t="e">
        <f t="shared" si="31"/>
        <v>#REF!</v>
      </c>
      <c r="AR32" s="26" t="e">
        <f t="shared" si="31"/>
        <v>#REF!</v>
      </c>
    </row>
    <row r="33" spans="2:135" x14ac:dyDescent="0.35">
      <c r="B33" s="9"/>
      <c r="C33" s="9"/>
      <c r="D33" s="9">
        <v>5817</v>
      </c>
      <c r="E33" s="26">
        <v>4128</v>
      </c>
      <c r="F33" s="26">
        <v>4139</v>
      </c>
      <c r="G33" s="26">
        <v>4499</v>
      </c>
      <c r="H33" s="26">
        <v>6020</v>
      </c>
      <c r="I33" s="26">
        <v>9888</v>
      </c>
      <c r="J33" s="26">
        <v>13717</v>
      </c>
      <c r="K33" s="26">
        <v>15852</v>
      </c>
      <c r="L33" s="26">
        <v>24294</v>
      </c>
      <c r="M33" s="26">
        <v>25683</v>
      </c>
      <c r="N33" s="26">
        <v>39541</v>
      </c>
      <c r="O33" s="26">
        <v>64431</v>
      </c>
      <c r="P33" s="26">
        <v>87846</v>
      </c>
      <c r="Q33" s="26">
        <v>106606</v>
      </c>
      <c r="R33" s="26">
        <v>112258</v>
      </c>
      <c r="S33" s="26">
        <v>140089</v>
      </c>
      <c r="T33" s="26">
        <v>131376</v>
      </c>
      <c r="U33" s="26">
        <v>141048</v>
      </c>
      <c r="V33" s="26">
        <f>+V31+V32</f>
        <v>163756</v>
      </c>
      <c r="W33" s="26">
        <f>+W31+W32</f>
        <v>161782</v>
      </c>
      <c r="X33" s="26" t="e">
        <f>+X31+X32</f>
        <v>#REF!</v>
      </c>
      <c r="Y33" s="26" t="e">
        <f>+Y31+Y32</f>
        <v>#REF!</v>
      </c>
      <c r="Z33" s="30" t="e">
        <f>+Z31+Z32</f>
        <v>#REF!</v>
      </c>
      <c r="AA33" s="43" t="e">
        <f t="shared" ref="AA33" si="32">SUM(#REF!)</f>
        <v>#REF!</v>
      </c>
      <c r="AB33" s="9" t="e">
        <f>SUM(AB31:AB32)</f>
        <v>#REF!</v>
      </c>
      <c r="AC33" s="9" t="e">
        <f t="shared" ref="AC33:AR33" si="33">SUM(AC31:AC32)</f>
        <v>#REF!</v>
      </c>
      <c r="AD33" s="9" t="e">
        <f t="shared" si="33"/>
        <v>#REF!</v>
      </c>
      <c r="AE33" s="9" t="e">
        <f t="shared" si="33"/>
        <v>#REF!</v>
      </c>
      <c r="AF33" s="9" t="e">
        <f t="shared" si="33"/>
        <v>#REF!</v>
      </c>
      <c r="AG33" s="9" t="e">
        <f t="shared" si="33"/>
        <v>#REF!</v>
      </c>
      <c r="AH33" s="9" t="e">
        <f t="shared" si="33"/>
        <v>#REF!</v>
      </c>
      <c r="AI33" s="9" t="e">
        <f t="shared" si="33"/>
        <v>#REF!</v>
      </c>
      <c r="AJ33" s="9" t="e">
        <f t="shared" si="33"/>
        <v>#REF!</v>
      </c>
      <c r="AK33" s="9" t="e">
        <f t="shared" si="33"/>
        <v>#REF!</v>
      </c>
      <c r="AL33" s="9" t="e">
        <f t="shared" si="33"/>
        <v>#REF!</v>
      </c>
      <c r="AM33" s="9" t="e">
        <f t="shared" si="33"/>
        <v>#REF!</v>
      </c>
      <c r="AN33" s="9" t="e">
        <f t="shared" si="33"/>
        <v>#REF!</v>
      </c>
      <c r="AO33" s="9" t="e">
        <f t="shared" si="33"/>
        <v>#REF!</v>
      </c>
      <c r="AP33" s="9" t="e">
        <f t="shared" si="33"/>
        <v>#REF!</v>
      </c>
      <c r="AQ33" s="9" t="e">
        <f t="shared" si="33"/>
        <v>#REF!</v>
      </c>
      <c r="AR33" s="9" t="e">
        <f t="shared" si="33"/>
        <v>#REF!</v>
      </c>
    </row>
    <row r="34" spans="2:135" x14ac:dyDescent="0.35">
      <c r="B34" s="9"/>
      <c r="C34" s="9"/>
      <c r="D34" s="9">
        <f t="shared" ref="D34:E34" si="34">+D30-D33</f>
        <v>2166</v>
      </c>
      <c r="E34" s="26">
        <f t="shared" si="34"/>
        <v>1235</v>
      </c>
      <c r="F34" s="26">
        <f>+F30-F33</f>
        <v>1603</v>
      </c>
      <c r="G34" s="26">
        <f t="shared" ref="G34:W34" si="35">+G30-G33</f>
        <v>1708</v>
      </c>
      <c r="H34" s="26">
        <f t="shared" si="35"/>
        <v>2259</v>
      </c>
      <c r="I34" s="26">
        <f t="shared" si="35"/>
        <v>4043</v>
      </c>
      <c r="J34" s="26">
        <f t="shared" si="35"/>
        <v>5598</v>
      </c>
      <c r="K34" s="26">
        <f t="shared" si="35"/>
        <v>8154</v>
      </c>
      <c r="L34" s="26">
        <f t="shared" si="35"/>
        <v>13197</v>
      </c>
      <c r="M34" s="26">
        <f t="shared" si="35"/>
        <v>17222</v>
      </c>
      <c r="N34" s="26">
        <f t="shared" si="35"/>
        <v>25684</v>
      </c>
      <c r="O34" s="26">
        <f t="shared" si="35"/>
        <v>43818</v>
      </c>
      <c r="P34" s="26">
        <f t="shared" si="35"/>
        <v>68662</v>
      </c>
      <c r="Q34" s="26">
        <f t="shared" si="35"/>
        <v>64304</v>
      </c>
      <c r="R34" s="26">
        <f t="shared" si="35"/>
        <v>70537</v>
      </c>
      <c r="S34" s="26">
        <f t="shared" si="35"/>
        <v>93626</v>
      </c>
      <c r="T34" s="26">
        <f t="shared" si="35"/>
        <v>84263</v>
      </c>
      <c r="U34" s="26">
        <f t="shared" si="35"/>
        <v>88186</v>
      </c>
      <c r="V34" s="26" t="e">
        <f>+V30-V33</f>
        <v>#REF!</v>
      </c>
      <c r="W34" s="26" t="e">
        <f t="shared" si="35"/>
        <v>#REF!</v>
      </c>
      <c r="X34" s="26" t="e">
        <f>+X30-X33</f>
        <v>#REF!</v>
      </c>
      <c r="Y34" s="26" t="e">
        <f>+Y30-Y33</f>
        <v>#REF!</v>
      </c>
      <c r="Z34" s="30" t="e">
        <f>+Z30-Z33</f>
        <v>#REF!</v>
      </c>
      <c r="AA34" s="43" t="e">
        <f t="shared" ref="AA34" si="36">SUM(#REF!)</f>
        <v>#REF!</v>
      </c>
      <c r="AB34" s="26" t="e">
        <f>AB30-AB33</f>
        <v>#REF!</v>
      </c>
      <c r="AC34" s="26" t="e">
        <f>AC30-AC33</f>
        <v>#REF!</v>
      </c>
      <c r="AD34" s="26" t="e">
        <f t="shared" ref="AD34:AR34" si="37">AD30-AD33</f>
        <v>#REF!</v>
      </c>
      <c r="AE34" s="26" t="e">
        <f t="shared" si="37"/>
        <v>#REF!</v>
      </c>
      <c r="AF34" s="26" t="e">
        <f t="shared" si="37"/>
        <v>#REF!</v>
      </c>
      <c r="AG34" s="26" t="e">
        <f t="shared" si="37"/>
        <v>#REF!</v>
      </c>
      <c r="AH34" s="26" t="e">
        <f t="shared" si="37"/>
        <v>#REF!</v>
      </c>
      <c r="AI34" s="26" t="e">
        <f t="shared" si="37"/>
        <v>#REF!</v>
      </c>
      <c r="AJ34" s="26" t="e">
        <f t="shared" si="37"/>
        <v>#REF!</v>
      </c>
      <c r="AK34" s="26" t="e">
        <f t="shared" si="37"/>
        <v>#REF!</v>
      </c>
      <c r="AL34" s="26" t="e">
        <f t="shared" si="37"/>
        <v>#REF!</v>
      </c>
      <c r="AM34" s="26" t="e">
        <f t="shared" si="37"/>
        <v>#REF!</v>
      </c>
      <c r="AN34" s="26" t="e">
        <f t="shared" si="37"/>
        <v>#REF!</v>
      </c>
      <c r="AO34" s="26" t="e">
        <f t="shared" si="37"/>
        <v>#REF!</v>
      </c>
      <c r="AP34" s="26" t="e">
        <f t="shared" si="37"/>
        <v>#REF!</v>
      </c>
      <c r="AQ34" s="26" t="e">
        <f t="shared" si="37"/>
        <v>#REF!</v>
      </c>
      <c r="AR34" s="26" t="e">
        <f t="shared" si="37"/>
        <v>#REF!</v>
      </c>
    </row>
    <row r="35" spans="2:135" x14ac:dyDescent="0.35">
      <c r="B35" s="9"/>
      <c r="C35" s="9"/>
      <c r="D35" s="9">
        <v>380</v>
      </c>
      <c r="E35" s="26">
        <v>430</v>
      </c>
      <c r="F35" s="26">
        <v>446</v>
      </c>
      <c r="G35" s="26">
        <v>471</v>
      </c>
      <c r="H35" s="26">
        <v>489</v>
      </c>
      <c r="I35" s="26">
        <v>534</v>
      </c>
      <c r="J35" s="26">
        <v>712</v>
      </c>
      <c r="K35" s="26">
        <v>782</v>
      </c>
      <c r="L35" s="26">
        <v>1109</v>
      </c>
      <c r="M35" s="26">
        <v>1333</v>
      </c>
      <c r="N35" s="26">
        <v>1782</v>
      </c>
      <c r="O35" s="26">
        <v>2429</v>
      </c>
      <c r="P35" s="26">
        <v>3381</v>
      </c>
      <c r="Q35" s="26">
        <v>4475</v>
      </c>
      <c r="R35" s="26">
        <v>6041</v>
      </c>
      <c r="S35" s="26">
        <v>8067</v>
      </c>
      <c r="T35" s="26">
        <v>10045</v>
      </c>
      <c r="U35" s="26">
        <v>11581</v>
      </c>
      <c r="V35" s="25">
        <v>14236</v>
      </c>
      <c r="W35" s="25">
        <v>16217</v>
      </c>
      <c r="X35" s="25" t="e">
        <f>SUM(#REF!)</f>
        <v>#REF!</v>
      </c>
      <c r="Y35" s="25" t="e">
        <f>SUM(#REF!)</f>
        <v>#REF!</v>
      </c>
      <c r="Z35" s="34" t="e">
        <f>SUM(#REF!)</f>
        <v>#REF!</v>
      </c>
      <c r="AA35" s="43" t="e">
        <f t="shared" ref="AA35" si="38">SUM(#REF!)</f>
        <v>#REF!</v>
      </c>
      <c r="AB35" s="26" t="e">
        <f t="shared" ref="AB35:AR35" si="39">AB30*IF($CC$17=1,($BZ$17),IF($CC$17=2,($CA$17),IF($CC$17=3,($CB$17),0)))</f>
        <v>#REF!</v>
      </c>
      <c r="AC35" s="26" t="e">
        <f t="shared" si="39"/>
        <v>#REF!</v>
      </c>
      <c r="AD35" s="26" t="e">
        <f t="shared" si="39"/>
        <v>#REF!</v>
      </c>
      <c r="AE35" s="26" t="e">
        <f t="shared" si="39"/>
        <v>#REF!</v>
      </c>
      <c r="AF35" s="26" t="e">
        <f t="shared" si="39"/>
        <v>#REF!</v>
      </c>
      <c r="AG35" s="26" t="e">
        <f t="shared" si="39"/>
        <v>#REF!</v>
      </c>
      <c r="AH35" s="26" t="e">
        <f t="shared" si="39"/>
        <v>#REF!</v>
      </c>
      <c r="AI35" s="26" t="e">
        <f t="shared" si="39"/>
        <v>#REF!</v>
      </c>
      <c r="AJ35" s="26" t="e">
        <f t="shared" si="39"/>
        <v>#REF!</v>
      </c>
      <c r="AK35" s="26" t="e">
        <f t="shared" si="39"/>
        <v>#REF!</v>
      </c>
      <c r="AL35" s="26" t="e">
        <f t="shared" si="39"/>
        <v>#REF!</v>
      </c>
      <c r="AM35" s="26" t="e">
        <f t="shared" si="39"/>
        <v>#REF!</v>
      </c>
      <c r="AN35" s="26" t="e">
        <f t="shared" si="39"/>
        <v>#REF!</v>
      </c>
      <c r="AO35" s="26" t="e">
        <f t="shared" si="39"/>
        <v>#REF!</v>
      </c>
      <c r="AP35" s="26" t="e">
        <f t="shared" si="39"/>
        <v>#REF!</v>
      </c>
      <c r="AQ35" s="26" t="e">
        <f t="shared" si="39"/>
        <v>#REF!</v>
      </c>
      <c r="AR35" s="26" t="e">
        <f t="shared" si="39"/>
        <v>#REF!</v>
      </c>
    </row>
    <row r="36" spans="2:135" x14ac:dyDescent="0.35">
      <c r="B36" s="9"/>
      <c r="C36" s="9"/>
      <c r="D36" s="9">
        <v>1166</v>
      </c>
      <c r="E36" s="26">
        <v>1138</v>
      </c>
      <c r="F36" s="26">
        <v>1109</v>
      </c>
      <c r="G36" s="26">
        <v>1212</v>
      </c>
      <c r="H36" s="26">
        <v>1421</v>
      </c>
      <c r="I36" s="26">
        <v>1859</v>
      </c>
      <c r="J36" s="26">
        <v>2433</v>
      </c>
      <c r="K36" s="26">
        <v>2963</v>
      </c>
      <c r="L36" s="26">
        <v>3761</v>
      </c>
      <c r="M36" s="26">
        <v>4149</v>
      </c>
      <c r="N36" s="26">
        <v>5517</v>
      </c>
      <c r="O36" s="26">
        <v>7599</v>
      </c>
      <c r="P36" s="26">
        <v>10040</v>
      </c>
      <c r="Q36" s="26">
        <v>10830</v>
      </c>
      <c r="R36" s="26">
        <v>11993</v>
      </c>
      <c r="S36" s="26">
        <v>14329</v>
      </c>
      <c r="T36" s="26">
        <v>14194</v>
      </c>
      <c r="U36" s="26">
        <v>15261</v>
      </c>
      <c r="V36" s="25">
        <v>16705</v>
      </c>
      <c r="W36" s="25">
        <v>18245</v>
      </c>
      <c r="X36" s="25" t="e">
        <f>SUM(#REF!)</f>
        <v>#REF!</v>
      </c>
      <c r="Y36" s="25" t="e">
        <f>SUM(#REF!)</f>
        <v>#REF!</v>
      </c>
      <c r="Z36" s="34" t="e">
        <f>SUM(#REF!)</f>
        <v>#REF!</v>
      </c>
      <c r="AA36" s="43" t="e">
        <f>SUM(#REF!)</f>
        <v>#REF!</v>
      </c>
      <c r="AB36" s="26" t="e">
        <f t="shared" ref="AB36:AR36" si="40">AB30*IF($CC$16=1,($BZ$16),IF($CC$16=2,($CA$16),IF($CC$16=3,($CB$16),0)))</f>
        <v>#REF!</v>
      </c>
      <c r="AC36" s="26" t="e">
        <f t="shared" si="40"/>
        <v>#REF!</v>
      </c>
      <c r="AD36" s="26" t="e">
        <f t="shared" si="40"/>
        <v>#REF!</v>
      </c>
      <c r="AE36" s="26" t="e">
        <f t="shared" si="40"/>
        <v>#REF!</v>
      </c>
      <c r="AF36" s="26" t="e">
        <f t="shared" si="40"/>
        <v>#REF!</v>
      </c>
      <c r="AG36" s="26" t="e">
        <f t="shared" si="40"/>
        <v>#REF!</v>
      </c>
      <c r="AH36" s="26" t="e">
        <f t="shared" si="40"/>
        <v>#REF!</v>
      </c>
      <c r="AI36" s="26" t="e">
        <f t="shared" si="40"/>
        <v>#REF!</v>
      </c>
      <c r="AJ36" s="26" t="e">
        <f t="shared" si="40"/>
        <v>#REF!</v>
      </c>
      <c r="AK36" s="26" t="e">
        <f t="shared" si="40"/>
        <v>#REF!</v>
      </c>
      <c r="AL36" s="26" t="e">
        <f t="shared" si="40"/>
        <v>#REF!</v>
      </c>
      <c r="AM36" s="26" t="e">
        <f t="shared" si="40"/>
        <v>#REF!</v>
      </c>
      <c r="AN36" s="26" t="e">
        <f t="shared" si="40"/>
        <v>#REF!</v>
      </c>
      <c r="AO36" s="26" t="e">
        <f t="shared" si="40"/>
        <v>#REF!</v>
      </c>
      <c r="AP36" s="26" t="e">
        <f t="shared" si="40"/>
        <v>#REF!</v>
      </c>
      <c r="AQ36" s="26" t="e">
        <f t="shared" si="40"/>
        <v>#REF!</v>
      </c>
      <c r="AR36" s="26" t="e">
        <f t="shared" si="40"/>
        <v>#REF!</v>
      </c>
    </row>
    <row r="37" spans="2:135" x14ac:dyDescent="0.35">
      <c r="B37" s="9"/>
      <c r="C37" s="9"/>
      <c r="D37" s="9">
        <f t="shared" ref="D37:W37" si="41">+D35+D36</f>
        <v>1546</v>
      </c>
      <c r="E37" s="26">
        <f t="shared" si="41"/>
        <v>1568</v>
      </c>
      <c r="F37" s="26">
        <f t="shared" si="41"/>
        <v>1555</v>
      </c>
      <c r="G37" s="26">
        <f t="shared" si="41"/>
        <v>1683</v>
      </c>
      <c r="H37" s="26">
        <f t="shared" si="41"/>
        <v>1910</v>
      </c>
      <c r="I37" s="26">
        <f t="shared" si="41"/>
        <v>2393</v>
      </c>
      <c r="J37" s="26">
        <f t="shared" si="41"/>
        <v>3145</v>
      </c>
      <c r="K37" s="26">
        <f t="shared" si="41"/>
        <v>3745</v>
      </c>
      <c r="L37" s="26">
        <f t="shared" si="41"/>
        <v>4870</v>
      </c>
      <c r="M37" s="26">
        <f t="shared" si="41"/>
        <v>5482</v>
      </c>
      <c r="N37" s="26">
        <f t="shared" si="41"/>
        <v>7299</v>
      </c>
      <c r="O37" s="26">
        <f t="shared" si="41"/>
        <v>10028</v>
      </c>
      <c r="P37" s="26">
        <f t="shared" si="41"/>
        <v>13421</v>
      </c>
      <c r="Q37" s="26">
        <f t="shared" si="41"/>
        <v>15305</v>
      </c>
      <c r="R37" s="26">
        <f t="shared" si="41"/>
        <v>18034</v>
      </c>
      <c r="S37" s="26">
        <f t="shared" si="41"/>
        <v>22396</v>
      </c>
      <c r="T37" s="26">
        <f t="shared" si="41"/>
        <v>24239</v>
      </c>
      <c r="U37" s="26">
        <f t="shared" si="41"/>
        <v>26842</v>
      </c>
      <c r="V37" s="26">
        <f t="shared" si="41"/>
        <v>30941</v>
      </c>
      <c r="W37" s="26">
        <f t="shared" si="41"/>
        <v>34462</v>
      </c>
      <c r="X37" s="26" t="e">
        <f>+X35+X36</f>
        <v>#REF!</v>
      </c>
      <c r="Y37" s="26" t="e">
        <f>+Y35+Y36</f>
        <v>#REF!</v>
      </c>
      <c r="Z37" s="30" t="e">
        <f>+Z35+Z36</f>
        <v>#REF!</v>
      </c>
      <c r="AA37" s="43" t="e">
        <f t="shared" ref="AA37" si="42">SUM(#REF!)</f>
        <v>#REF!</v>
      </c>
      <c r="AB37" s="26" t="e">
        <f>SUM(AB35:AB36)</f>
        <v>#REF!</v>
      </c>
      <c r="AC37" s="26" t="e">
        <f t="shared" ref="AC37:AR37" si="43">SUM(AC35:AC36)</f>
        <v>#REF!</v>
      </c>
      <c r="AD37" s="26" t="e">
        <f t="shared" si="43"/>
        <v>#REF!</v>
      </c>
      <c r="AE37" s="26" t="e">
        <f t="shared" si="43"/>
        <v>#REF!</v>
      </c>
      <c r="AF37" s="26" t="e">
        <f t="shared" si="43"/>
        <v>#REF!</v>
      </c>
      <c r="AG37" s="26" t="e">
        <f t="shared" si="43"/>
        <v>#REF!</v>
      </c>
      <c r="AH37" s="26" t="e">
        <f t="shared" si="43"/>
        <v>#REF!</v>
      </c>
      <c r="AI37" s="26" t="e">
        <f t="shared" si="43"/>
        <v>#REF!</v>
      </c>
      <c r="AJ37" s="26" t="e">
        <f t="shared" si="43"/>
        <v>#REF!</v>
      </c>
      <c r="AK37" s="26" t="e">
        <f t="shared" si="43"/>
        <v>#REF!</v>
      </c>
      <c r="AL37" s="26" t="e">
        <f t="shared" si="43"/>
        <v>#REF!</v>
      </c>
      <c r="AM37" s="26" t="e">
        <f t="shared" si="43"/>
        <v>#REF!</v>
      </c>
      <c r="AN37" s="26" t="e">
        <f t="shared" si="43"/>
        <v>#REF!</v>
      </c>
      <c r="AO37" s="26" t="e">
        <f t="shared" si="43"/>
        <v>#REF!</v>
      </c>
      <c r="AP37" s="26" t="e">
        <f t="shared" si="43"/>
        <v>#REF!</v>
      </c>
      <c r="AQ37" s="26" t="e">
        <f t="shared" si="43"/>
        <v>#REF!</v>
      </c>
      <c r="AR37" s="26" t="e">
        <f t="shared" si="43"/>
        <v>#REF!</v>
      </c>
    </row>
    <row r="38" spans="2:135" x14ac:dyDescent="0.35">
      <c r="B38" s="9"/>
      <c r="C38" s="9"/>
      <c r="D38" s="9">
        <f t="shared" ref="D38:W38" si="44">+D34-D37</f>
        <v>620</v>
      </c>
      <c r="E38" s="26">
        <f t="shared" si="44"/>
        <v>-333</v>
      </c>
      <c r="F38" s="26">
        <f t="shared" si="44"/>
        <v>48</v>
      </c>
      <c r="G38" s="26">
        <f t="shared" si="44"/>
        <v>25</v>
      </c>
      <c r="H38" s="26">
        <f t="shared" si="44"/>
        <v>349</v>
      </c>
      <c r="I38" s="26">
        <f t="shared" si="44"/>
        <v>1650</v>
      </c>
      <c r="J38" s="26">
        <f t="shared" si="44"/>
        <v>2453</v>
      </c>
      <c r="K38" s="26">
        <f t="shared" si="44"/>
        <v>4409</v>
      </c>
      <c r="L38" s="26">
        <f t="shared" si="44"/>
        <v>8327</v>
      </c>
      <c r="M38" s="26">
        <f t="shared" si="44"/>
        <v>11740</v>
      </c>
      <c r="N38" s="26">
        <f t="shared" si="44"/>
        <v>18385</v>
      </c>
      <c r="O38" s="26">
        <f t="shared" si="44"/>
        <v>33790</v>
      </c>
      <c r="P38" s="26">
        <f t="shared" si="44"/>
        <v>55241</v>
      </c>
      <c r="Q38" s="26">
        <f t="shared" si="44"/>
        <v>48999</v>
      </c>
      <c r="R38" s="26">
        <f t="shared" si="44"/>
        <v>52503</v>
      </c>
      <c r="S38" s="26">
        <f t="shared" si="44"/>
        <v>71230</v>
      </c>
      <c r="T38" s="26">
        <f t="shared" si="44"/>
        <v>60024</v>
      </c>
      <c r="U38" s="26">
        <f t="shared" si="44"/>
        <v>61344</v>
      </c>
      <c r="V38" s="26" t="e">
        <f t="shared" si="44"/>
        <v>#REF!</v>
      </c>
      <c r="W38" s="26" t="e">
        <f t="shared" si="44"/>
        <v>#REF!</v>
      </c>
      <c r="X38" s="26" t="e">
        <f>+X34-X37</f>
        <v>#REF!</v>
      </c>
      <c r="Y38" s="26" t="e">
        <f>+Y34-Y37</f>
        <v>#REF!</v>
      </c>
      <c r="Z38" s="30" t="e">
        <f>+Z34-Z37</f>
        <v>#REF!</v>
      </c>
      <c r="AA38" s="43" t="e">
        <f t="shared" ref="AA38" si="45">SUM(#REF!)</f>
        <v>#REF!</v>
      </c>
      <c r="AB38" s="26" t="e">
        <f>AB34-AB37</f>
        <v>#REF!</v>
      </c>
      <c r="AC38" s="26" t="e">
        <f t="shared" ref="AC38:AR38" si="46">AC34-AC37</f>
        <v>#REF!</v>
      </c>
      <c r="AD38" s="26" t="e">
        <f t="shared" si="46"/>
        <v>#REF!</v>
      </c>
      <c r="AE38" s="26" t="e">
        <f t="shared" si="46"/>
        <v>#REF!</v>
      </c>
      <c r="AF38" s="26" t="e">
        <f t="shared" si="46"/>
        <v>#REF!</v>
      </c>
      <c r="AG38" s="26" t="e">
        <f t="shared" si="46"/>
        <v>#REF!</v>
      </c>
      <c r="AH38" s="26" t="e">
        <f t="shared" si="46"/>
        <v>#REF!</v>
      </c>
      <c r="AI38" s="26" t="e">
        <f t="shared" si="46"/>
        <v>#REF!</v>
      </c>
      <c r="AJ38" s="26" t="e">
        <f t="shared" si="46"/>
        <v>#REF!</v>
      </c>
      <c r="AK38" s="26" t="e">
        <f t="shared" si="46"/>
        <v>#REF!</v>
      </c>
      <c r="AL38" s="26" t="e">
        <f t="shared" si="46"/>
        <v>#REF!</v>
      </c>
      <c r="AM38" s="26" t="e">
        <f t="shared" si="46"/>
        <v>#REF!</v>
      </c>
      <c r="AN38" s="26" t="e">
        <f t="shared" si="46"/>
        <v>#REF!</v>
      </c>
      <c r="AO38" s="26" t="e">
        <f t="shared" si="46"/>
        <v>#REF!</v>
      </c>
      <c r="AP38" s="26" t="e">
        <f t="shared" si="46"/>
        <v>#REF!</v>
      </c>
      <c r="AQ38" s="26" t="e">
        <f t="shared" si="46"/>
        <v>#REF!</v>
      </c>
      <c r="AR38" s="26" t="e">
        <f t="shared" si="46"/>
        <v>#REF!</v>
      </c>
    </row>
    <row r="39" spans="2:135" x14ac:dyDescent="0.35">
      <c r="B39" s="9"/>
      <c r="C39" s="9"/>
      <c r="D39" s="9">
        <v>203</v>
      </c>
      <c r="E39" s="26">
        <v>217</v>
      </c>
      <c r="F39" s="26">
        <v>70</v>
      </c>
      <c r="G39" s="26">
        <v>93</v>
      </c>
      <c r="H39" s="26">
        <v>57</v>
      </c>
      <c r="I39" s="26">
        <v>165</v>
      </c>
      <c r="J39" s="26">
        <v>365</v>
      </c>
      <c r="K39" s="26">
        <v>599</v>
      </c>
      <c r="L39" s="26">
        <v>620</v>
      </c>
      <c r="M39" s="26">
        <v>326</v>
      </c>
      <c r="N39" s="26">
        <v>155</v>
      </c>
      <c r="O39" s="26">
        <v>415</v>
      </c>
      <c r="P39" s="26">
        <v>522</v>
      </c>
      <c r="Q39" s="26">
        <v>1156</v>
      </c>
      <c r="R39" s="26">
        <v>980</v>
      </c>
      <c r="S39" s="26">
        <v>1285</v>
      </c>
      <c r="T39" s="26">
        <v>1348</v>
      </c>
      <c r="U39" s="26">
        <v>2745</v>
      </c>
      <c r="V39" s="25">
        <v>2005</v>
      </c>
      <c r="W39" s="25">
        <v>1807</v>
      </c>
      <c r="X39" s="25" t="e">
        <f>SUM(#REF!)</f>
        <v>#REF!</v>
      </c>
      <c r="Y39" s="25" t="e">
        <f>SUM(#REF!)</f>
        <v>#REF!</v>
      </c>
      <c r="Z39" s="34" t="e">
        <f>SUM(#REF!)</f>
        <v>#REF!</v>
      </c>
      <c r="AA39" s="43" t="e">
        <f t="shared" ref="AA39" si="47">SUM(#REF!)</f>
        <v>#REF!</v>
      </c>
      <c r="AB39" s="26" t="e">
        <f>AA39</f>
        <v>#REF!</v>
      </c>
      <c r="AC39" s="26" t="e">
        <f t="shared" ref="AC39:AR39" si="48">AB39</f>
        <v>#REF!</v>
      </c>
      <c r="AD39" s="26" t="e">
        <f t="shared" si="48"/>
        <v>#REF!</v>
      </c>
      <c r="AE39" s="26" t="e">
        <f t="shared" si="48"/>
        <v>#REF!</v>
      </c>
      <c r="AF39" s="26" t="e">
        <f t="shared" si="48"/>
        <v>#REF!</v>
      </c>
      <c r="AG39" s="26" t="e">
        <f t="shared" si="48"/>
        <v>#REF!</v>
      </c>
      <c r="AH39" s="26" t="e">
        <f t="shared" si="48"/>
        <v>#REF!</v>
      </c>
      <c r="AI39" s="26" t="e">
        <f t="shared" si="48"/>
        <v>#REF!</v>
      </c>
      <c r="AJ39" s="26" t="e">
        <f t="shared" si="48"/>
        <v>#REF!</v>
      </c>
      <c r="AK39" s="26" t="e">
        <f t="shared" si="48"/>
        <v>#REF!</v>
      </c>
      <c r="AL39" s="26" t="e">
        <f t="shared" si="48"/>
        <v>#REF!</v>
      </c>
      <c r="AM39" s="26" t="e">
        <f t="shared" si="48"/>
        <v>#REF!</v>
      </c>
      <c r="AN39" s="26" t="e">
        <f t="shared" si="48"/>
        <v>#REF!</v>
      </c>
      <c r="AO39" s="26" t="e">
        <f t="shared" si="48"/>
        <v>#REF!</v>
      </c>
      <c r="AP39" s="26" t="e">
        <f t="shared" si="48"/>
        <v>#REF!</v>
      </c>
      <c r="AQ39" s="26" t="e">
        <f t="shared" si="48"/>
        <v>#REF!</v>
      </c>
      <c r="AR39" s="26" t="e">
        <f t="shared" si="48"/>
        <v>#REF!</v>
      </c>
    </row>
    <row r="40" spans="2:135" x14ac:dyDescent="0.35">
      <c r="B40" s="9"/>
      <c r="C40" s="9"/>
      <c r="D40" s="9">
        <f t="shared" ref="D40:W40" si="49">+D38+D39</f>
        <v>823</v>
      </c>
      <c r="E40" s="26">
        <f t="shared" si="49"/>
        <v>-116</v>
      </c>
      <c r="F40" s="26">
        <f t="shared" si="49"/>
        <v>118</v>
      </c>
      <c r="G40" s="26">
        <f t="shared" si="49"/>
        <v>118</v>
      </c>
      <c r="H40" s="26">
        <f t="shared" si="49"/>
        <v>406</v>
      </c>
      <c r="I40" s="26">
        <f t="shared" si="49"/>
        <v>1815</v>
      </c>
      <c r="J40" s="26">
        <f t="shared" si="49"/>
        <v>2818</v>
      </c>
      <c r="K40" s="26">
        <f t="shared" si="49"/>
        <v>5008</v>
      </c>
      <c r="L40" s="26">
        <f t="shared" si="49"/>
        <v>8947</v>
      </c>
      <c r="M40" s="26">
        <f t="shared" si="49"/>
        <v>12066</v>
      </c>
      <c r="N40" s="26">
        <f t="shared" si="49"/>
        <v>18540</v>
      </c>
      <c r="O40" s="26">
        <f t="shared" si="49"/>
        <v>34205</v>
      </c>
      <c r="P40" s="26">
        <f t="shared" si="49"/>
        <v>55763</v>
      </c>
      <c r="Q40" s="26">
        <f t="shared" si="49"/>
        <v>50155</v>
      </c>
      <c r="R40" s="26">
        <f t="shared" si="49"/>
        <v>53483</v>
      </c>
      <c r="S40" s="26">
        <f t="shared" si="49"/>
        <v>72515</v>
      </c>
      <c r="T40" s="26">
        <f t="shared" si="49"/>
        <v>61372</v>
      </c>
      <c r="U40" s="26">
        <f t="shared" si="49"/>
        <v>64089</v>
      </c>
      <c r="V40" s="26" t="e">
        <f t="shared" si="49"/>
        <v>#REF!</v>
      </c>
      <c r="W40" s="26" t="e">
        <f t="shared" si="49"/>
        <v>#REF!</v>
      </c>
      <c r="X40" s="26" t="e">
        <f>+X38+X39</f>
        <v>#REF!</v>
      </c>
      <c r="Y40" s="26" t="e">
        <f>+Y38+Y39</f>
        <v>#REF!</v>
      </c>
      <c r="Z40" s="30" t="e">
        <f>+Z38+Z39</f>
        <v>#REF!</v>
      </c>
      <c r="AA40" s="43" t="e">
        <f t="shared" ref="AA40" si="50">SUM(#REF!)</f>
        <v>#REF!</v>
      </c>
      <c r="AB40" s="26" t="e">
        <f>AB38+AB39</f>
        <v>#REF!</v>
      </c>
      <c r="AC40" s="26" t="e">
        <f t="shared" ref="AC40:AR40" si="51">AC38+AC39</f>
        <v>#REF!</v>
      </c>
      <c r="AD40" s="26" t="e">
        <f t="shared" si="51"/>
        <v>#REF!</v>
      </c>
      <c r="AE40" s="26" t="e">
        <f t="shared" si="51"/>
        <v>#REF!</v>
      </c>
      <c r="AF40" s="26" t="e">
        <f t="shared" si="51"/>
        <v>#REF!</v>
      </c>
      <c r="AG40" s="26" t="e">
        <f t="shared" si="51"/>
        <v>#REF!</v>
      </c>
      <c r="AH40" s="26" t="e">
        <f t="shared" si="51"/>
        <v>#REF!</v>
      </c>
      <c r="AI40" s="26" t="e">
        <f t="shared" si="51"/>
        <v>#REF!</v>
      </c>
      <c r="AJ40" s="26" t="e">
        <f t="shared" si="51"/>
        <v>#REF!</v>
      </c>
      <c r="AK40" s="26" t="e">
        <f t="shared" si="51"/>
        <v>#REF!</v>
      </c>
      <c r="AL40" s="26" t="e">
        <f t="shared" si="51"/>
        <v>#REF!</v>
      </c>
      <c r="AM40" s="26" t="e">
        <f t="shared" si="51"/>
        <v>#REF!</v>
      </c>
      <c r="AN40" s="26" t="e">
        <f t="shared" si="51"/>
        <v>#REF!</v>
      </c>
      <c r="AO40" s="26" t="e">
        <f t="shared" si="51"/>
        <v>#REF!</v>
      </c>
      <c r="AP40" s="26" t="e">
        <f t="shared" si="51"/>
        <v>#REF!</v>
      </c>
      <c r="AQ40" s="26" t="e">
        <f t="shared" si="51"/>
        <v>#REF!</v>
      </c>
      <c r="AR40" s="26" t="e">
        <f t="shared" si="51"/>
        <v>#REF!</v>
      </c>
    </row>
    <row r="41" spans="2:135" x14ac:dyDescent="0.35">
      <c r="B41" s="9"/>
      <c r="C41" s="9"/>
      <c r="D41" s="9">
        <v>306</v>
      </c>
      <c r="E41" s="26">
        <v>0</v>
      </c>
      <c r="F41" s="26">
        <v>22</v>
      </c>
      <c r="G41" s="26">
        <v>24</v>
      </c>
      <c r="H41" s="26">
        <v>107</v>
      </c>
      <c r="I41" s="26">
        <v>480</v>
      </c>
      <c r="J41" s="26">
        <v>829</v>
      </c>
      <c r="K41" s="26">
        <v>1512</v>
      </c>
      <c r="L41" s="26">
        <v>2828</v>
      </c>
      <c r="M41" s="26">
        <v>3831</v>
      </c>
      <c r="N41" s="26">
        <v>4527</v>
      </c>
      <c r="O41" s="26">
        <v>8283</v>
      </c>
      <c r="P41" s="26">
        <v>14030</v>
      </c>
      <c r="Q41" s="26">
        <v>13118</v>
      </c>
      <c r="R41" s="26">
        <v>13973</v>
      </c>
      <c r="S41" s="26">
        <v>19121</v>
      </c>
      <c r="T41" s="26">
        <v>15685</v>
      </c>
      <c r="U41" s="26">
        <v>15738</v>
      </c>
      <c r="V41" s="25">
        <v>13372</v>
      </c>
      <c r="W41" s="25">
        <v>10481</v>
      </c>
      <c r="X41" s="25" t="e">
        <f>SUM(#REF!)</f>
        <v>#REF!</v>
      </c>
      <c r="Y41" s="25" t="e">
        <f>SUM(#REF!)</f>
        <v>#REF!</v>
      </c>
      <c r="Z41" s="34" t="e">
        <f>SUM(#REF!)</f>
        <v>#REF!</v>
      </c>
      <c r="AA41" s="43" t="e">
        <f>SUM(#REF!)</f>
        <v>#REF!</v>
      </c>
      <c r="AB41" s="26" t="e">
        <f t="shared" ref="AB41:AR41" si="52">AB40*IF($CC$18=1,$BZ$18,IF($CC$18=2,$CA$18,IF($CC$18=3,$CB$18,0)))</f>
        <v>#REF!</v>
      </c>
      <c r="AC41" s="26" t="e">
        <f t="shared" si="52"/>
        <v>#REF!</v>
      </c>
      <c r="AD41" s="26" t="e">
        <f t="shared" si="52"/>
        <v>#REF!</v>
      </c>
      <c r="AE41" s="26" t="e">
        <f t="shared" si="52"/>
        <v>#REF!</v>
      </c>
      <c r="AF41" s="26" t="e">
        <f t="shared" si="52"/>
        <v>#REF!</v>
      </c>
      <c r="AG41" s="26" t="e">
        <f t="shared" si="52"/>
        <v>#REF!</v>
      </c>
      <c r="AH41" s="26" t="e">
        <f t="shared" si="52"/>
        <v>#REF!</v>
      </c>
      <c r="AI41" s="26" t="e">
        <f t="shared" si="52"/>
        <v>#REF!</v>
      </c>
      <c r="AJ41" s="26" t="e">
        <f t="shared" si="52"/>
        <v>#REF!</v>
      </c>
      <c r="AK41" s="26" t="e">
        <f t="shared" si="52"/>
        <v>#REF!</v>
      </c>
      <c r="AL41" s="26" t="e">
        <f t="shared" si="52"/>
        <v>#REF!</v>
      </c>
      <c r="AM41" s="26" t="e">
        <f t="shared" si="52"/>
        <v>#REF!</v>
      </c>
      <c r="AN41" s="26" t="e">
        <f t="shared" si="52"/>
        <v>#REF!</v>
      </c>
      <c r="AO41" s="26" t="e">
        <f t="shared" si="52"/>
        <v>#REF!</v>
      </c>
      <c r="AP41" s="26" t="e">
        <f t="shared" si="52"/>
        <v>#REF!</v>
      </c>
      <c r="AQ41" s="26" t="e">
        <f t="shared" si="52"/>
        <v>#REF!</v>
      </c>
      <c r="AR41" s="26" t="e">
        <f t="shared" si="52"/>
        <v>#REF!</v>
      </c>
    </row>
    <row r="42" spans="2:135" x14ac:dyDescent="0.35">
      <c r="B42" s="9"/>
      <c r="C42" s="9"/>
      <c r="D42" s="9">
        <f t="shared" ref="D42:W42" si="53">+D40-D41</f>
        <v>517</v>
      </c>
      <c r="E42" s="26">
        <f t="shared" si="53"/>
        <v>-116</v>
      </c>
      <c r="F42" s="26">
        <f t="shared" si="53"/>
        <v>96</v>
      </c>
      <c r="G42" s="26">
        <f t="shared" si="53"/>
        <v>94</v>
      </c>
      <c r="H42" s="26">
        <f t="shared" si="53"/>
        <v>299</v>
      </c>
      <c r="I42" s="26">
        <f t="shared" si="53"/>
        <v>1335</v>
      </c>
      <c r="J42" s="26">
        <f t="shared" si="53"/>
        <v>1989</v>
      </c>
      <c r="K42" s="26">
        <f t="shared" si="53"/>
        <v>3496</v>
      </c>
      <c r="L42" s="26">
        <f t="shared" si="53"/>
        <v>6119</v>
      </c>
      <c r="M42" s="26">
        <f t="shared" si="53"/>
        <v>8235</v>
      </c>
      <c r="N42" s="26">
        <f t="shared" si="53"/>
        <v>14013</v>
      </c>
      <c r="O42" s="26">
        <f t="shared" si="53"/>
        <v>25922</v>
      </c>
      <c r="P42" s="26">
        <f t="shared" si="53"/>
        <v>41733</v>
      </c>
      <c r="Q42" s="26">
        <f t="shared" si="53"/>
        <v>37037</v>
      </c>
      <c r="R42" s="26">
        <f t="shared" si="53"/>
        <v>39510</v>
      </c>
      <c r="S42" s="26">
        <f t="shared" si="53"/>
        <v>53394</v>
      </c>
      <c r="T42" s="26">
        <f t="shared" si="53"/>
        <v>45687</v>
      </c>
      <c r="U42" s="26">
        <f t="shared" si="53"/>
        <v>48351</v>
      </c>
      <c r="V42" s="26" t="e">
        <f t="shared" si="53"/>
        <v>#REF!</v>
      </c>
      <c r="W42" s="26" t="e">
        <f t="shared" si="53"/>
        <v>#REF!</v>
      </c>
      <c r="X42" s="26" t="e">
        <f>+X40-X41</f>
        <v>#REF!</v>
      </c>
      <c r="Y42" s="26" t="e">
        <f>+Y40-Y41</f>
        <v>#REF!</v>
      </c>
      <c r="Z42" s="30" t="e">
        <f>+Z40-Z41</f>
        <v>#REF!</v>
      </c>
      <c r="AA42" s="43" t="e">
        <f t="shared" ref="AA42" si="54">SUM(#REF!)</f>
        <v>#REF!</v>
      </c>
      <c r="AB42" s="26" t="e">
        <f>AB40-AB41</f>
        <v>#REF!</v>
      </c>
      <c r="AC42" s="26" t="e">
        <f t="shared" ref="AC42:AR42" si="55">AC40-AC41</f>
        <v>#REF!</v>
      </c>
      <c r="AD42" s="26" t="e">
        <f t="shared" si="55"/>
        <v>#REF!</v>
      </c>
      <c r="AE42" s="26" t="e">
        <f t="shared" si="55"/>
        <v>#REF!</v>
      </c>
      <c r="AF42" s="26" t="e">
        <f t="shared" si="55"/>
        <v>#REF!</v>
      </c>
      <c r="AG42" s="26" t="e">
        <f t="shared" si="55"/>
        <v>#REF!</v>
      </c>
      <c r="AH42" s="26" t="e">
        <f t="shared" si="55"/>
        <v>#REF!</v>
      </c>
      <c r="AI42" s="26" t="e">
        <f t="shared" si="55"/>
        <v>#REF!</v>
      </c>
      <c r="AJ42" s="26" t="e">
        <f t="shared" si="55"/>
        <v>#REF!</v>
      </c>
      <c r="AK42" s="26" t="e">
        <f t="shared" si="55"/>
        <v>#REF!</v>
      </c>
      <c r="AL42" s="26" t="e">
        <f t="shared" si="55"/>
        <v>#REF!</v>
      </c>
      <c r="AM42" s="26" t="e">
        <f t="shared" si="55"/>
        <v>#REF!</v>
      </c>
      <c r="AN42" s="26" t="e">
        <f t="shared" si="55"/>
        <v>#REF!</v>
      </c>
      <c r="AO42" s="26" t="e">
        <f t="shared" si="55"/>
        <v>#REF!</v>
      </c>
      <c r="AP42" s="26" t="e">
        <f t="shared" si="55"/>
        <v>#REF!</v>
      </c>
      <c r="AQ42" s="26" t="e">
        <f t="shared" si="55"/>
        <v>#REF!</v>
      </c>
      <c r="AR42" s="26" t="e">
        <f t="shared" si="55"/>
        <v>#REF!</v>
      </c>
      <c r="AS42" s="26" t="e">
        <f t="shared" ref="AS42:DD42" si="56">AR42*(1+$BZ$23)</f>
        <v>#REF!</v>
      </c>
      <c r="AT42" s="26" t="e">
        <f t="shared" si="56"/>
        <v>#REF!</v>
      </c>
      <c r="AU42" s="26" t="e">
        <f t="shared" si="56"/>
        <v>#REF!</v>
      </c>
      <c r="AV42" s="26" t="e">
        <f t="shared" si="56"/>
        <v>#REF!</v>
      </c>
      <c r="AW42" s="26" t="e">
        <f t="shared" si="56"/>
        <v>#REF!</v>
      </c>
      <c r="AX42" s="26" t="e">
        <f t="shared" si="56"/>
        <v>#REF!</v>
      </c>
      <c r="AY42" s="26" t="e">
        <f t="shared" si="56"/>
        <v>#REF!</v>
      </c>
      <c r="AZ42" s="26" t="e">
        <f t="shared" si="56"/>
        <v>#REF!</v>
      </c>
      <c r="BA42" s="26" t="e">
        <f t="shared" si="56"/>
        <v>#REF!</v>
      </c>
      <c r="BB42" s="26" t="e">
        <f t="shared" si="56"/>
        <v>#REF!</v>
      </c>
      <c r="BC42" s="26" t="e">
        <f t="shared" si="56"/>
        <v>#REF!</v>
      </c>
      <c r="BD42" s="26" t="e">
        <f t="shared" si="56"/>
        <v>#REF!</v>
      </c>
      <c r="BE42" s="26" t="e">
        <f t="shared" si="56"/>
        <v>#REF!</v>
      </c>
      <c r="BF42" s="26" t="e">
        <f t="shared" si="56"/>
        <v>#REF!</v>
      </c>
      <c r="BG42" s="26" t="e">
        <f t="shared" si="56"/>
        <v>#REF!</v>
      </c>
      <c r="BH42" s="26" t="e">
        <f t="shared" si="56"/>
        <v>#REF!</v>
      </c>
      <c r="BI42" s="26" t="e">
        <f t="shared" si="56"/>
        <v>#REF!</v>
      </c>
      <c r="BJ42" s="26" t="e">
        <f t="shared" si="56"/>
        <v>#REF!</v>
      </c>
      <c r="BK42" s="26" t="e">
        <f t="shared" si="56"/>
        <v>#REF!</v>
      </c>
      <c r="BL42" s="26" t="e">
        <f t="shared" si="56"/>
        <v>#REF!</v>
      </c>
      <c r="BM42" s="26" t="e">
        <f t="shared" si="56"/>
        <v>#REF!</v>
      </c>
      <c r="BN42" s="26" t="e">
        <f t="shared" si="56"/>
        <v>#REF!</v>
      </c>
      <c r="BO42" s="26" t="e">
        <f t="shared" si="56"/>
        <v>#REF!</v>
      </c>
      <c r="BP42" s="26" t="e">
        <f t="shared" si="56"/>
        <v>#REF!</v>
      </c>
      <c r="BQ42" s="26" t="e">
        <f t="shared" si="56"/>
        <v>#REF!</v>
      </c>
      <c r="BR42" s="26" t="e">
        <f t="shared" si="56"/>
        <v>#REF!</v>
      </c>
      <c r="BS42" s="26" t="e">
        <f t="shared" si="56"/>
        <v>#REF!</v>
      </c>
      <c r="BT42" s="26" t="e">
        <f t="shared" si="56"/>
        <v>#REF!</v>
      </c>
      <c r="BU42" s="26" t="e">
        <f t="shared" si="56"/>
        <v>#REF!</v>
      </c>
      <c r="BV42" s="26" t="e">
        <f t="shared" si="56"/>
        <v>#REF!</v>
      </c>
      <c r="BW42" s="26" t="e">
        <f t="shared" si="56"/>
        <v>#REF!</v>
      </c>
      <c r="BX42" s="26" t="e">
        <f t="shared" si="56"/>
        <v>#REF!</v>
      </c>
      <c r="BY42" s="26" t="e">
        <f t="shared" si="56"/>
        <v>#REF!</v>
      </c>
      <c r="BZ42" s="26" t="e">
        <f t="shared" si="56"/>
        <v>#REF!</v>
      </c>
      <c r="CA42" s="26" t="e">
        <f t="shared" si="56"/>
        <v>#REF!</v>
      </c>
      <c r="CB42" s="26" t="e">
        <f t="shared" si="56"/>
        <v>#REF!</v>
      </c>
      <c r="CC42" s="26" t="e">
        <f t="shared" si="56"/>
        <v>#REF!</v>
      </c>
      <c r="CD42" s="26" t="e">
        <f t="shared" si="56"/>
        <v>#REF!</v>
      </c>
      <c r="CE42" s="26" t="e">
        <f t="shared" si="56"/>
        <v>#REF!</v>
      </c>
      <c r="CF42" s="26" t="e">
        <f t="shared" si="56"/>
        <v>#REF!</v>
      </c>
      <c r="CG42" s="26" t="e">
        <f t="shared" si="56"/>
        <v>#REF!</v>
      </c>
      <c r="CH42" s="26" t="e">
        <f t="shared" si="56"/>
        <v>#REF!</v>
      </c>
      <c r="CI42" s="26" t="e">
        <f t="shared" si="56"/>
        <v>#REF!</v>
      </c>
      <c r="CJ42" s="26" t="e">
        <f t="shared" si="56"/>
        <v>#REF!</v>
      </c>
      <c r="CK42" s="26" t="e">
        <f t="shared" si="56"/>
        <v>#REF!</v>
      </c>
      <c r="CL42" s="26" t="e">
        <f t="shared" si="56"/>
        <v>#REF!</v>
      </c>
      <c r="CM42" s="26" t="e">
        <f t="shared" si="56"/>
        <v>#REF!</v>
      </c>
      <c r="CN42" s="26" t="e">
        <f t="shared" si="56"/>
        <v>#REF!</v>
      </c>
      <c r="CO42" s="26" t="e">
        <f t="shared" si="56"/>
        <v>#REF!</v>
      </c>
      <c r="CP42" s="26" t="e">
        <f t="shared" si="56"/>
        <v>#REF!</v>
      </c>
      <c r="CQ42" s="26" t="e">
        <f t="shared" si="56"/>
        <v>#REF!</v>
      </c>
      <c r="CR42" s="26" t="e">
        <f t="shared" si="56"/>
        <v>#REF!</v>
      </c>
      <c r="CS42" s="26" t="e">
        <f t="shared" si="56"/>
        <v>#REF!</v>
      </c>
      <c r="CT42" s="26" t="e">
        <f t="shared" si="56"/>
        <v>#REF!</v>
      </c>
      <c r="CU42" s="26" t="e">
        <f t="shared" si="56"/>
        <v>#REF!</v>
      </c>
      <c r="CV42" s="26" t="e">
        <f t="shared" si="56"/>
        <v>#REF!</v>
      </c>
      <c r="CW42" s="26" t="e">
        <f t="shared" si="56"/>
        <v>#REF!</v>
      </c>
      <c r="CX42" s="26" t="e">
        <f t="shared" si="56"/>
        <v>#REF!</v>
      </c>
      <c r="CY42" s="26" t="e">
        <f t="shared" si="56"/>
        <v>#REF!</v>
      </c>
      <c r="CZ42" s="26" t="e">
        <f t="shared" si="56"/>
        <v>#REF!</v>
      </c>
      <c r="DA42" s="26" t="e">
        <f t="shared" si="56"/>
        <v>#REF!</v>
      </c>
      <c r="DB42" s="26" t="e">
        <f t="shared" si="56"/>
        <v>#REF!</v>
      </c>
      <c r="DC42" s="26" t="e">
        <f t="shared" si="56"/>
        <v>#REF!</v>
      </c>
      <c r="DD42" s="26" t="e">
        <f t="shared" si="56"/>
        <v>#REF!</v>
      </c>
      <c r="DE42" s="26" t="e">
        <f t="shared" ref="DE42:EE42" si="57">DD42*(1+$BZ$23)</f>
        <v>#REF!</v>
      </c>
      <c r="DF42" s="26" t="e">
        <f t="shared" si="57"/>
        <v>#REF!</v>
      </c>
      <c r="DG42" s="26" t="e">
        <f t="shared" si="57"/>
        <v>#REF!</v>
      </c>
      <c r="DH42" s="26" t="e">
        <f t="shared" si="57"/>
        <v>#REF!</v>
      </c>
      <c r="DI42" s="26" t="e">
        <f t="shared" si="57"/>
        <v>#REF!</v>
      </c>
      <c r="DJ42" s="26" t="e">
        <f t="shared" si="57"/>
        <v>#REF!</v>
      </c>
      <c r="DK42" s="26" t="e">
        <f t="shared" si="57"/>
        <v>#REF!</v>
      </c>
      <c r="DL42" s="26" t="e">
        <f t="shared" si="57"/>
        <v>#REF!</v>
      </c>
      <c r="DM42" s="26" t="e">
        <f t="shared" si="57"/>
        <v>#REF!</v>
      </c>
      <c r="DN42" s="26" t="e">
        <f t="shared" si="57"/>
        <v>#REF!</v>
      </c>
      <c r="DO42" s="26" t="e">
        <f t="shared" si="57"/>
        <v>#REF!</v>
      </c>
      <c r="DP42" s="26" t="e">
        <f t="shared" si="57"/>
        <v>#REF!</v>
      </c>
      <c r="DQ42" s="26" t="e">
        <f t="shared" si="57"/>
        <v>#REF!</v>
      </c>
      <c r="DR42" s="26" t="e">
        <f t="shared" si="57"/>
        <v>#REF!</v>
      </c>
      <c r="DS42" s="26" t="e">
        <f t="shared" si="57"/>
        <v>#REF!</v>
      </c>
      <c r="DT42" s="26" t="e">
        <f t="shared" si="57"/>
        <v>#REF!</v>
      </c>
      <c r="DU42" s="26" t="e">
        <f t="shared" si="57"/>
        <v>#REF!</v>
      </c>
      <c r="DV42" s="26" t="e">
        <f t="shared" si="57"/>
        <v>#REF!</v>
      </c>
      <c r="DW42" s="26" t="e">
        <f t="shared" si="57"/>
        <v>#REF!</v>
      </c>
      <c r="DX42" s="26" t="e">
        <f t="shared" si="57"/>
        <v>#REF!</v>
      </c>
      <c r="DY42" s="26" t="e">
        <f t="shared" si="57"/>
        <v>#REF!</v>
      </c>
      <c r="DZ42" s="26" t="e">
        <f t="shared" si="57"/>
        <v>#REF!</v>
      </c>
      <c r="EA42" s="26" t="e">
        <f t="shared" si="57"/>
        <v>#REF!</v>
      </c>
      <c r="EB42" s="26" t="e">
        <f t="shared" si="57"/>
        <v>#REF!</v>
      </c>
      <c r="EC42" s="26" t="e">
        <f t="shared" si="57"/>
        <v>#REF!</v>
      </c>
      <c r="ED42" s="26" t="e">
        <f t="shared" si="57"/>
        <v>#REF!</v>
      </c>
      <c r="EE42" s="26" t="e">
        <f t="shared" si="57"/>
        <v>#REF!</v>
      </c>
    </row>
    <row r="43" spans="2:135" x14ac:dyDescent="0.35">
      <c r="B43" s="11"/>
      <c r="C43" s="11"/>
      <c r="D43" s="37">
        <f t="shared" ref="D43:W43" si="58">+D42/D44</f>
        <v>1.4348197733151276</v>
      </c>
      <c r="E43" s="37">
        <f t="shared" si="58"/>
        <v>-0.33563552296933274</v>
      </c>
      <c r="F43" s="37">
        <f t="shared" si="58"/>
        <v>0.26535096811642273</v>
      </c>
      <c r="G43" s="37">
        <f t="shared" si="58"/>
        <v>0.12931058200767059</v>
      </c>
      <c r="H43" s="37">
        <f t="shared" si="58"/>
        <v>0.38599471742346592</v>
      </c>
      <c r="I43" s="37">
        <f t="shared" si="58"/>
        <v>1.5581596209061837</v>
      </c>
      <c r="J43" s="37">
        <f t="shared" si="58"/>
        <v>2.266599508162721</v>
      </c>
      <c r="K43" s="37">
        <f t="shared" si="58"/>
        <v>3.9312171930029729</v>
      </c>
      <c r="L43" s="37">
        <f t="shared" si="58"/>
        <v>6.7827685090656757</v>
      </c>
      <c r="M43" s="37">
        <f t="shared" si="58"/>
        <v>9.0793325284866118</v>
      </c>
      <c r="N43" s="37">
        <f t="shared" si="58"/>
        <v>15.15390737872981</v>
      </c>
      <c r="O43" s="37">
        <f t="shared" si="58"/>
        <v>27.675373273759003</v>
      </c>
      <c r="P43" s="37">
        <f t="shared" si="58"/>
        <v>6.3064763445557777</v>
      </c>
      <c r="Q43" s="37">
        <f t="shared" si="58"/>
        <v>5.6790982137298718</v>
      </c>
      <c r="R43" s="37">
        <f t="shared" si="58"/>
        <v>6.4530744220284548</v>
      </c>
      <c r="S43" s="37">
        <f t="shared" si="58"/>
        <v>9.216876236067618</v>
      </c>
      <c r="T43" s="37">
        <f t="shared" si="58"/>
        <v>8.3063028961611227</v>
      </c>
      <c r="U43" s="37">
        <f t="shared" si="58"/>
        <v>9.2067470826545037</v>
      </c>
      <c r="V43" s="37" t="e">
        <f t="shared" si="58"/>
        <v>#REF!</v>
      </c>
      <c r="W43" s="37" t="e">
        <f t="shared" si="58"/>
        <v>#REF!</v>
      </c>
      <c r="X43" s="37" t="e">
        <f>+X42/X44</f>
        <v>#REF!</v>
      </c>
      <c r="Y43" s="37" t="e">
        <f>+Y42/Y44</f>
        <v>#REF!</v>
      </c>
      <c r="Z43" s="38" t="e">
        <f>+Z42/Z44</f>
        <v>#REF!</v>
      </c>
      <c r="AA43" s="45" t="e">
        <f>SUM(#REF!)</f>
        <v>#REF!</v>
      </c>
      <c r="AB43" s="37" t="e">
        <f>AB42/AB44</f>
        <v>#REF!</v>
      </c>
      <c r="AC43" s="37" t="e">
        <f t="shared" ref="AC43:AR43" si="59">AC42/AC44</f>
        <v>#REF!</v>
      </c>
      <c r="AD43" s="37" t="e">
        <f t="shared" si="59"/>
        <v>#REF!</v>
      </c>
      <c r="AE43" s="37" t="e">
        <f t="shared" si="59"/>
        <v>#REF!</v>
      </c>
      <c r="AF43" s="37" t="e">
        <f t="shared" si="59"/>
        <v>#REF!</v>
      </c>
      <c r="AG43" s="37" t="e">
        <f t="shared" si="59"/>
        <v>#REF!</v>
      </c>
      <c r="AH43" s="37" t="e">
        <f t="shared" si="59"/>
        <v>#REF!</v>
      </c>
      <c r="AI43" s="37" t="e">
        <f t="shared" si="59"/>
        <v>#REF!</v>
      </c>
      <c r="AJ43" s="37" t="e">
        <f t="shared" si="59"/>
        <v>#REF!</v>
      </c>
      <c r="AK43" s="37" t="e">
        <f t="shared" si="59"/>
        <v>#REF!</v>
      </c>
      <c r="AL43" s="37" t="e">
        <f t="shared" si="59"/>
        <v>#REF!</v>
      </c>
      <c r="AM43" s="37" t="e">
        <f t="shared" si="59"/>
        <v>#REF!</v>
      </c>
      <c r="AN43" s="37" t="e">
        <f t="shared" si="59"/>
        <v>#REF!</v>
      </c>
      <c r="AO43" s="37" t="e">
        <f t="shared" si="59"/>
        <v>#REF!</v>
      </c>
      <c r="AP43" s="37" t="e">
        <f t="shared" si="59"/>
        <v>#REF!</v>
      </c>
      <c r="AQ43" s="37" t="e">
        <f t="shared" si="59"/>
        <v>#REF!</v>
      </c>
      <c r="AR43" s="37" t="e">
        <f t="shared" si="59"/>
        <v>#REF!</v>
      </c>
    </row>
    <row r="44" spans="2:135" x14ac:dyDescent="0.35">
      <c r="B44" s="9"/>
      <c r="C44" s="9"/>
      <c r="D44" s="9">
        <v>360.32400000000001</v>
      </c>
      <c r="E44" s="26">
        <v>345.613</v>
      </c>
      <c r="F44" s="26">
        <v>361.78500000000003</v>
      </c>
      <c r="G44" s="26">
        <v>726.93200000000002</v>
      </c>
      <c r="H44" s="26">
        <v>774.62199999999996</v>
      </c>
      <c r="I44" s="26">
        <v>856.78</v>
      </c>
      <c r="J44" s="26">
        <v>877.52599999999995</v>
      </c>
      <c r="K44" s="26">
        <v>889.29200000000003</v>
      </c>
      <c r="L44" s="26">
        <v>902.13900000000001</v>
      </c>
      <c r="M44" s="26">
        <v>907.005</v>
      </c>
      <c r="N44" s="26">
        <v>924.71199999999999</v>
      </c>
      <c r="O44" s="26">
        <v>936.64499999999998</v>
      </c>
      <c r="P44" s="26">
        <v>6617.4830000000002</v>
      </c>
      <c r="Q44" s="26">
        <v>6521.634</v>
      </c>
      <c r="R44" s="26">
        <v>6122.6629999999996</v>
      </c>
      <c r="S44" s="26">
        <v>5793.0690000000004</v>
      </c>
      <c r="T44" s="26">
        <v>5500.2809999999999</v>
      </c>
      <c r="U44" s="26">
        <v>5251.692</v>
      </c>
      <c r="V44" s="26">
        <f>5000.109*4</f>
        <v>20000.436000000002</v>
      </c>
      <c r="W44" s="26">
        <v>18595.651000000002</v>
      </c>
      <c r="X44" s="26" t="e">
        <f>AVERAGE(#REF!)</f>
        <v>#REF!</v>
      </c>
      <c r="Y44" s="26" t="e">
        <f>AVERAGE(#REF!)</f>
        <v>#REF!</v>
      </c>
      <c r="Z44" s="30" t="e">
        <f>AVERAGE(#REF!)</f>
        <v>#REF!</v>
      </c>
      <c r="AA44" s="43" t="e">
        <f>Z44</f>
        <v>#REF!</v>
      </c>
      <c r="AB44" s="26" t="e">
        <f>AA44</f>
        <v>#REF!</v>
      </c>
      <c r="AC44" s="26" t="e">
        <f t="shared" ref="AC44:AR44" si="60">AB44</f>
        <v>#REF!</v>
      </c>
      <c r="AD44" s="26" t="e">
        <f t="shared" si="60"/>
        <v>#REF!</v>
      </c>
      <c r="AE44" s="26" t="e">
        <f t="shared" si="60"/>
        <v>#REF!</v>
      </c>
      <c r="AF44" s="26" t="e">
        <f t="shared" si="60"/>
        <v>#REF!</v>
      </c>
      <c r="AG44" s="26" t="e">
        <f t="shared" si="60"/>
        <v>#REF!</v>
      </c>
      <c r="AH44" s="26" t="e">
        <f t="shared" si="60"/>
        <v>#REF!</v>
      </c>
      <c r="AI44" s="26" t="e">
        <f t="shared" si="60"/>
        <v>#REF!</v>
      </c>
      <c r="AJ44" s="26" t="e">
        <f t="shared" si="60"/>
        <v>#REF!</v>
      </c>
      <c r="AK44" s="26" t="e">
        <f t="shared" si="60"/>
        <v>#REF!</v>
      </c>
      <c r="AL44" s="26" t="e">
        <f t="shared" si="60"/>
        <v>#REF!</v>
      </c>
      <c r="AM44" s="26" t="e">
        <f t="shared" si="60"/>
        <v>#REF!</v>
      </c>
      <c r="AN44" s="26" t="e">
        <f t="shared" si="60"/>
        <v>#REF!</v>
      </c>
      <c r="AO44" s="26" t="e">
        <f t="shared" si="60"/>
        <v>#REF!</v>
      </c>
      <c r="AP44" s="26" t="e">
        <f t="shared" si="60"/>
        <v>#REF!</v>
      </c>
      <c r="AQ44" s="26" t="e">
        <f t="shared" si="60"/>
        <v>#REF!</v>
      </c>
      <c r="AR44" s="26" t="e">
        <f t="shared" si="60"/>
        <v>#REF!</v>
      </c>
    </row>
    <row r="45" spans="2:135" x14ac:dyDescent="0.35">
      <c r="Z45" s="22"/>
    </row>
    <row r="46" spans="2:135" x14ac:dyDescent="0.35">
      <c r="B46" s="11"/>
      <c r="C46" s="11"/>
      <c r="D46" s="15">
        <f t="shared" ref="D46:V46" si="61">+D30/C30-1</f>
        <v>0.30143462667101395</v>
      </c>
      <c r="E46" s="15">
        <f t="shared" si="61"/>
        <v>-0.32819741951647252</v>
      </c>
      <c r="F46" s="15">
        <f t="shared" si="61"/>
        <v>7.0669401454409808E-2</v>
      </c>
      <c r="G46" s="15">
        <f t="shared" si="61"/>
        <v>8.0982236154649945E-2</v>
      </c>
      <c r="H46" s="15">
        <f t="shared" si="61"/>
        <v>0.33381665861124543</v>
      </c>
      <c r="I46" s="15">
        <f t="shared" si="61"/>
        <v>0.68269114627370464</v>
      </c>
      <c r="J46" s="15">
        <f t="shared" si="61"/>
        <v>0.38647620414902017</v>
      </c>
      <c r="K46" s="15">
        <f t="shared" si="61"/>
        <v>0.24286823712140815</v>
      </c>
      <c r="L46" s="15">
        <f t="shared" si="61"/>
        <v>0.56173456635841035</v>
      </c>
      <c r="M46" s="15">
        <f t="shared" si="61"/>
        <v>0.14440799125123371</v>
      </c>
      <c r="N46" s="15">
        <f t="shared" si="61"/>
        <v>0.52021908868430256</v>
      </c>
      <c r="O46" s="15">
        <f t="shared" si="61"/>
        <v>0.65962437715599842</v>
      </c>
      <c r="P46" s="15">
        <f t="shared" si="61"/>
        <v>0.44581474193756976</v>
      </c>
      <c r="Q46" s="15">
        <f t="shared" si="61"/>
        <v>9.2020855163953197E-2</v>
      </c>
      <c r="R46" s="15">
        <f t="shared" si="61"/>
        <v>6.9539523725937524E-2</v>
      </c>
      <c r="S46" s="15">
        <f t="shared" si="61"/>
        <v>0.27856341803659834</v>
      </c>
      <c r="T46" s="15">
        <f t="shared" si="61"/>
        <v>-7.7342061913013738E-2</v>
      </c>
      <c r="U46" s="15">
        <f t="shared" si="61"/>
        <v>6.304518199398057E-2</v>
      </c>
      <c r="V46" s="15" t="e">
        <f t="shared" si="61"/>
        <v>#REF!</v>
      </c>
      <c r="W46" s="15" t="e">
        <f>+W30/V30-1</f>
        <v>#REF!</v>
      </c>
      <c r="X46" s="15" t="e">
        <f>+X30/W30-1</f>
        <v>#REF!</v>
      </c>
      <c r="Y46" s="15" t="e">
        <f t="shared" ref="Y46:Z46" si="62">+Y30/X30-1</f>
        <v>#REF!</v>
      </c>
      <c r="Z46" s="23" t="e">
        <f t="shared" si="62"/>
        <v>#REF!</v>
      </c>
      <c r="AA46" s="15" t="e">
        <f>+AA30/Z30-1</f>
        <v>#REF!</v>
      </c>
      <c r="AB46" s="15" t="e">
        <f t="shared" ref="AB46:AR46" si="63">+AB30/AA30-1</f>
        <v>#REF!</v>
      </c>
      <c r="AC46" s="15" t="e">
        <f t="shared" si="63"/>
        <v>#REF!</v>
      </c>
      <c r="AD46" s="15" t="e">
        <f t="shared" si="63"/>
        <v>#REF!</v>
      </c>
      <c r="AE46" s="15" t="e">
        <f t="shared" si="63"/>
        <v>#REF!</v>
      </c>
      <c r="AF46" s="15" t="e">
        <f t="shared" si="63"/>
        <v>#REF!</v>
      </c>
      <c r="AG46" s="15" t="e">
        <f t="shared" si="63"/>
        <v>#REF!</v>
      </c>
      <c r="AH46" s="15" t="e">
        <f t="shared" si="63"/>
        <v>#REF!</v>
      </c>
      <c r="AI46" s="15" t="e">
        <f t="shared" si="63"/>
        <v>#REF!</v>
      </c>
      <c r="AJ46" s="15" t="e">
        <f t="shared" si="63"/>
        <v>#REF!</v>
      </c>
      <c r="AK46" s="15" t="e">
        <f t="shared" si="63"/>
        <v>#REF!</v>
      </c>
      <c r="AL46" s="15" t="e">
        <f t="shared" si="63"/>
        <v>#REF!</v>
      </c>
      <c r="AM46" s="15" t="e">
        <f t="shared" si="63"/>
        <v>#REF!</v>
      </c>
      <c r="AN46" s="15" t="e">
        <f t="shared" si="63"/>
        <v>#REF!</v>
      </c>
      <c r="AO46" s="15" t="e">
        <f t="shared" si="63"/>
        <v>#REF!</v>
      </c>
      <c r="AP46" s="15" t="e">
        <f t="shared" si="63"/>
        <v>#REF!</v>
      </c>
      <c r="AQ46" s="15" t="e">
        <f t="shared" si="63"/>
        <v>#REF!</v>
      </c>
      <c r="AR46" s="15" t="e">
        <f t="shared" si="63"/>
        <v>#REF!</v>
      </c>
    </row>
    <row r="47" spans="2:135" x14ac:dyDescent="0.35">
      <c r="B47" s="11"/>
      <c r="C47" s="11"/>
      <c r="D47" s="11"/>
      <c r="E47" s="11"/>
      <c r="F47" s="11"/>
      <c r="G47" s="11"/>
      <c r="H47" s="11"/>
      <c r="I47" s="11"/>
      <c r="J47" s="11"/>
      <c r="K47" s="15"/>
      <c r="L47" s="39">
        <f t="shared" ref="L47:Y47" si="64">+L20/K20-1</f>
        <v>53.8130081300813</v>
      </c>
      <c r="M47" s="39">
        <f t="shared" si="64"/>
        <v>0.93310590329279153</v>
      </c>
      <c r="N47" s="39">
        <f t="shared" si="64"/>
        <v>0.93194199340136574</v>
      </c>
      <c r="O47" s="39">
        <f t="shared" si="64"/>
        <v>0.82683982683982693</v>
      </c>
      <c r="P47" s="39">
        <f t="shared" si="64"/>
        <v>0.71077003347971646</v>
      </c>
      <c r="Q47" s="39">
        <f t="shared" si="64"/>
        <v>0.15995272708788688</v>
      </c>
      <c r="R47" s="39">
        <f t="shared" si="64"/>
        <v>0.11735448460215392</v>
      </c>
      <c r="S47" s="39">
        <f t="shared" si="64"/>
        <v>0.52014393426870997</v>
      </c>
      <c r="T47" s="39">
        <f t="shared" si="64"/>
        <v>-0.11829774059764842</v>
      </c>
      <c r="U47" s="39">
        <f t="shared" si="64"/>
        <v>3.3789319678127372E-2</v>
      </c>
      <c r="V47" s="39" t="e">
        <f t="shared" si="64"/>
        <v>#REF!</v>
      </c>
      <c r="W47" s="39" t="e">
        <f>+W20/V20-1</f>
        <v>#REF!</v>
      </c>
      <c r="X47" s="39" t="e">
        <f>+X20/W20-1</f>
        <v>#REF!</v>
      </c>
      <c r="Y47" s="39" t="e">
        <f t="shared" si="64"/>
        <v>#REF!</v>
      </c>
      <c r="Z47" s="40" t="e">
        <f>+Z20/Y20-1</f>
        <v>#REF!</v>
      </c>
      <c r="AA47" s="39" t="e">
        <f>+AA20/Z20-1</f>
        <v>#REF!</v>
      </c>
      <c r="AB47" s="39" t="e">
        <f>+AB20/AA20-1</f>
        <v>#REF!</v>
      </c>
      <c r="AC47" s="39" t="e">
        <f t="shared" ref="AC47:AR47" si="65">+AC20/AB20-1</f>
        <v>#REF!</v>
      </c>
      <c r="AD47" s="39" t="e">
        <f t="shared" si="65"/>
        <v>#REF!</v>
      </c>
      <c r="AE47" s="39" t="e">
        <f t="shared" si="65"/>
        <v>#REF!</v>
      </c>
      <c r="AF47" s="39" t="e">
        <f t="shared" si="65"/>
        <v>#REF!</v>
      </c>
      <c r="AG47" s="39" t="e">
        <f t="shared" si="65"/>
        <v>#REF!</v>
      </c>
      <c r="AH47" s="39" t="e">
        <f t="shared" si="65"/>
        <v>#REF!</v>
      </c>
      <c r="AI47" s="39" t="e">
        <f t="shared" si="65"/>
        <v>#REF!</v>
      </c>
      <c r="AJ47" s="39" t="e">
        <f t="shared" si="65"/>
        <v>#REF!</v>
      </c>
      <c r="AK47" s="39" t="e">
        <f t="shared" si="65"/>
        <v>#REF!</v>
      </c>
      <c r="AL47" s="39" t="e">
        <f t="shared" si="65"/>
        <v>#REF!</v>
      </c>
      <c r="AM47" s="39" t="e">
        <f t="shared" si="65"/>
        <v>#REF!</v>
      </c>
      <c r="AN47" s="39" t="e">
        <f t="shared" si="65"/>
        <v>#REF!</v>
      </c>
      <c r="AO47" s="39" t="e">
        <f t="shared" si="65"/>
        <v>#REF!</v>
      </c>
      <c r="AP47" s="39" t="e">
        <f t="shared" si="65"/>
        <v>#REF!</v>
      </c>
      <c r="AQ47" s="39" t="e">
        <f t="shared" si="65"/>
        <v>#REF!</v>
      </c>
      <c r="AR47" s="39" t="e">
        <f t="shared" si="65"/>
        <v>#REF!</v>
      </c>
    </row>
    <row r="48" spans="2:135" x14ac:dyDescent="0.35">
      <c r="B48" s="11"/>
      <c r="C48" s="11"/>
      <c r="D48" s="11"/>
      <c r="E48" s="39">
        <f>E24/D24-1</f>
        <v>-0.27534562211981561</v>
      </c>
      <c r="F48" s="39">
        <f t="shared" ref="F48:AR50" si="66">F24/E24-1</f>
        <v>2.975244151714751E-2</v>
      </c>
      <c r="G48" s="39">
        <f t="shared" si="66"/>
        <v>-9.4838994265549204E-3</v>
      </c>
      <c r="H48" s="39">
        <f t="shared" si="66"/>
        <v>9.6192384769539174E-2</v>
      </c>
      <c r="I48" s="39">
        <f t="shared" si="66"/>
        <v>0.27462929108267309</v>
      </c>
      <c r="J48" s="39">
        <f t="shared" si="66"/>
        <v>0.17529880478087656</v>
      </c>
      <c r="K48" s="39">
        <f t="shared" si="66"/>
        <v>0.39850847457627125</v>
      </c>
      <c r="L48" s="39">
        <f t="shared" si="66"/>
        <v>0.39170060112468486</v>
      </c>
      <c r="M48" s="39">
        <f t="shared" si="66"/>
        <v>-3.4485160930751046E-2</v>
      </c>
      <c r="N48" s="39">
        <f t="shared" si="66"/>
        <v>0.26120210693412216</v>
      </c>
      <c r="O48" s="39">
        <f t="shared" si="66"/>
        <v>0.24623834315464266</v>
      </c>
      <c r="P48" s="39">
        <f t="shared" si="66"/>
        <v>6.6014782169581787E-2</v>
      </c>
      <c r="Q48" s="39">
        <f t="shared" si="66"/>
        <v>-7.4846044528659395E-2</v>
      </c>
      <c r="R48" s="39">
        <f t="shared" si="66"/>
        <v>0.12083973374295964</v>
      </c>
      <c r="S48" s="39">
        <f t="shared" si="66"/>
        <v>5.7809709705552548E-2</v>
      </c>
      <c r="T48" s="39">
        <f t="shared" si="66"/>
        <v>-0.10364728514781518</v>
      </c>
      <c r="U48" s="39">
        <f t="shared" si="66"/>
        <v>0.13223249091148004</v>
      </c>
      <c r="V48" s="39" t="e">
        <f t="shared" si="66"/>
        <v>#REF!</v>
      </c>
      <c r="W48" s="39" t="e">
        <f t="shared" si="66"/>
        <v>#REF!</v>
      </c>
      <c r="X48" s="39" t="e">
        <f t="shared" si="66"/>
        <v>#REF!</v>
      </c>
      <c r="Y48" s="39" t="e">
        <f t="shared" si="66"/>
        <v>#REF!</v>
      </c>
      <c r="Z48" s="40" t="e">
        <f t="shared" si="66"/>
        <v>#REF!</v>
      </c>
      <c r="AA48" s="39" t="e">
        <f t="shared" si="66"/>
        <v>#REF!</v>
      </c>
      <c r="AB48" s="39" t="e">
        <f t="shared" si="66"/>
        <v>#REF!</v>
      </c>
      <c r="AC48" s="39" t="e">
        <f t="shared" si="66"/>
        <v>#REF!</v>
      </c>
      <c r="AD48" s="39" t="e">
        <f t="shared" si="66"/>
        <v>#REF!</v>
      </c>
      <c r="AE48" s="39" t="e">
        <f t="shared" si="66"/>
        <v>#REF!</v>
      </c>
      <c r="AF48" s="39" t="e">
        <f t="shared" si="66"/>
        <v>#REF!</v>
      </c>
      <c r="AG48" s="39" t="e">
        <f t="shared" si="66"/>
        <v>#REF!</v>
      </c>
      <c r="AH48" s="39" t="e">
        <f t="shared" si="66"/>
        <v>#REF!</v>
      </c>
      <c r="AI48" s="39" t="e">
        <f t="shared" si="66"/>
        <v>#REF!</v>
      </c>
      <c r="AJ48" s="39" t="e">
        <f t="shared" si="66"/>
        <v>#REF!</v>
      </c>
      <c r="AK48" s="39" t="e">
        <f t="shared" si="66"/>
        <v>#REF!</v>
      </c>
      <c r="AL48" s="39" t="e">
        <f t="shared" si="66"/>
        <v>#REF!</v>
      </c>
      <c r="AM48" s="39" t="e">
        <f t="shared" si="66"/>
        <v>#REF!</v>
      </c>
      <c r="AN48" s="39" t="e">
        <f t="shared" si="66"/>
        <v>#REF!</v>
      </c>
      <c r="AO48" s="39" t="e">
        <f t="shared" si="66"/>
        <v>#REF!</v>
      </c>
      <c r="AP48" s="39" t="e">
        <f t="shared" si="66"/>
        <v>#REF!</v>
      </c>
      <c r="AQ48" s="39" t="e">
        <f t="shared" si="66"/>
        <v>#REF!</v>
      </c>
      <c r="AR48" s="39" t="e">
        <f t="shared" si="66"/>
        <v>#REF!</v>
      </c>
    </row>
    <row r="49" spans="2:44" x14ac:dyDescent="0.35">
      <c r="D49" s="16"/>
      <c r="E49" s="16"/>
      <c r="F49" s="16"/>
      <c r="G49" s="16"/>
      <c r="H49" s="16"/>
      <c r="I49" s="16"/>
      <c r="J49" s="16"/>
      <c r="K49" s="16"/>
      <c r="L49" s="16"/>
      <c r="M49" s="16"/>
      <c r="N49" s="16"/>
      <c r="O49" s="16">
        <f t="shared" si="66"/>
        <v>2.8660750302541347</v>
      </c>
      <c r="P49" s="16">
        <f t="shared" si="66"/>
        <v>0.61440943238731216</v>
      </c>
      <c r="Q49" s="16">
        <f t="shared" si="66"/>
        <v>3.3446437227338865E-2</v>
      </c>
      <c r="R49" s="16">
        <f t="shared" si="66"/>
        <v>-5.3064415259537201E-2</v>
      </c>
      <c r="S49" s="16">
        <f t="shared" si="66"/>
        <v>-0.23300201433147305</v>
      </c>
      <c r="T49" s="16">
        <f t="shared" si="66"/>
        <v>-0.11189563869634478</v>
      </c>
      <c r="U49" s="16">
        <f t="shared" si="66"/>
        <v>-6.8159782819468662E-2</v>
      </c>
      <c r="V49" s="16" t="e">
        <f t="shared" si="66"/>
        <v>#REF!</v>
      </c>
      <c r="W49" s="16" t="e">
        <f t="shared" si="66"/>
        <v>#REF!</v>
      </c>
      <c r="X49" s="16" t="e">
        <f t="shared" si="66"/>
        <v>#REF!</v>
      </c>
      <c r="Y49" s="16" t="e">
        <f t="shared" si="66"/>
        <v>#REF!</v>
      </c>
      <c r="Z49" s="24" t="e">
        <f t="shared" si="66"/>
        <v>#REF!</v>
      </c>
      <c r="AA49" s="16" t="e">
        <f>AA25/Z25-1</f>
        <v>#REF!</v>
      </c>
      <c r="AB49" s="16" t="e">
        <f t="shared" si="66"/>
        <v>#REF!</v>
      </c>
      <c r="AC49" s="16" t="e">
        <f t="shared" si="66"/>
        <v>#REF!</v>
      </c>
      <c r="AD49" s="16" t="e">
        <f t="shared" si="66"/>
        <v>#REF!</v>
      </c>
      <c r="AE49" s="16" t="e">
        <f t="shared" si="66"/>
        <v>#REF!</v>
      </c>
      <c r="AF49" s="16" t="e">
        <f t="shared" si="66"/>
        <v>#REF!</v>
      </c>
      <c r="AG49" s="16" t="e">
        <f t="shared" si="66"/>
        <v>#REF!</v>
      </c>
      <c r="AH49" s="16" t="e">
        <f t="shared" si="66"/>
        <v>#REF!</v>
      </c>
      <c r="AI49" s="16" t="e">
        <f t="shared" si="66"/>
        <v>#REF!</v>
      </c>
      <c r="AJ49" s="16" t="e">
        <f t="shared" si="66"/>
        <v>#REF!</v>
      </c>
      <c r="AK49" s="16" t="e">
        <f t="shared" si="66"/>
        <v>#REF!</v>
      </c>
      <c r="AL49" s="16" t="e">
        <f t="shared" si="66"/>
        <v>#REF!</v>
      </c>
      <c r="AM49" s="16" t="e">
        <f t="shared" si="66"/>
        <v>#REF!</v>
      </c>
      <c r="AN49" s="16" t="e">
        <f t="shared" si="66"/>
        <v>#REF!</v>
      </c>
      <c r="AO49" s="16" t="e">
        <f t="shared" si="66"/>
        <v>#REF!</v>
      </c>
      <c r="AP49" s="16" t="e">
        <f t="shared" si="66"/>
        <v>#REF!</v>
      </c>
      <c r="AQ49" s="16" t="e">
        <f t="shared" si="66"/>
        <v>#REF!</v>
      </c>
      <c r="AR49" s="16" t="e">
        <f t="shared" si="66"/>
        <v>#REF!</v>
      </c>
    </row>
    <row r="50" spans="2:44" x14ac:dyDescent="0.35">
      <c r="D50" s="16"/>
      <c r="E50" s="16">
        <f>E26/D26-1</f>
        <v>-0.52163164400494444</v>
      </c>
      <c r="F50" s="16">
        <f t="shared" ref="F50:Z50" si="67">F26/E26-1</f>
        <v>0.74160206718346244</v>
      </c>
      <c r="G50" s="16">
        <f t="shared" si="67"/>
        <v>0.5370919881305638</v>
      </c>
      <c r="H50" s="16">
        <f t="shared" si="67"/>
        <v>1.1785714285714284</v>
      </c>
      <c r="I50" s="16">
        <f t="shared" si="67"/>
        <v>1.510412051395658</v>
      </c>
      <c r="J50" s="16">
        <f t="shared" si="67"/>
        <v>0.54888810448288039</v>
      </c>
      <c r="K50" s="16">
        <f t="shared" si="67"/>
        <v>8.9904284412032798E-2</v>
      </c>
      <c r="L50" s="16">
        <f t="shared" si="67"/>
        <v>0.13403031887088335</v>
      </c>
      <c r="M50" s="16">
        <f t="shared" si="67"/>
        <v>-0.11809716972434769</v>
      </c>
      <c r="N50" s="16">
        <f t="shared" si="67"/>
        <v>5.456826259669656E-2</v>
      </c>
      <c r="O50" s="16">
        <f t="shared" si="67"/>
        <v>0.18229579698651865</v>
      </c>
      <c r="P50" s="16">
        <f t="shared" si="67"/>
        <v>-9.7845225119476797E-2</v>
      </c>
      <c r="Q50" s="16">
        <f t="shared" si="67"/>
        <v>-5.9758364312267664E-2</v>
      </c>
      <c r="R50" s="16">
        <f t="shared" si="67"/>
        <v>-0.17179005634081246</v>
      </c>
      <c r="S50" s="16">
        <f t="shared" si="67"/>
        <v>0.20145602100489324</v>
      </c>
      <c r="T50" s="16">
        <f t="shared" si="67"/>
        <v>0.10579119896692157</v>
      </c>
      <c r="U50" s="16">
        <f t="shared" si="67"/>
        <v>0.15549766439094492</v>
      </c>
      <c r="V50" s="16" t="e">
        <f t="shared" si="67"/>
        <v>#REF!</v>
      </c>
      <c r="W50" s="16" t="e">
        <f t="shared" si="67"/>
        <v>#REF!</v>
      </c>
      <c r="X50" s="16" t="e">
        <f t="shared" si="67"/>
        <v>#REF!</v>
      </c>
      <c r="Y50" s="16" t="e">
        <f t="shared" si="67"/>
        <v>#REF!</v>
      </c>
      <c r="Z50" s="24" t="e">
        <f t="shared" si="67"/>
        <v>#REF!</v>
      </c>
      <c r="AA50" s="16" t="e">
        <f>AA26/Z26-1</f>
        <v>#REF!</v>
      </c>
      <c r="AB50" s="16" t="e">
        <f t="shared" si="66"/>
        <v>#REF!</v>
      </c>
      <c r="AC50" s="16" t="e">
        <f t="shared" si="66"/>
        <v>#REF!</v>
      </c>
      <c r="AD50" s="16" t="e">
        <f t="shared" si="66"/>
        <v>#REF!</v>
      </c>
      <c r="AE50" s="16" t="e">
        <f t="shared" si="66"/>
        <v>#REF!</v>
      </c>
      <c r="AF50" s="16" t="e">
        <f t="shared" si="66"/>
        <v>#REF!</v>
      </c>
      <c r="AG50" s="16" t="e">
        <f t="shared" si="66"/>
        <v>#REF!</v>
      </c>
      <c r="AH50" s="16" t="e">
        <f t="shared" si="66"/>
        <v>#REF!</v>
      </c>
      <c r="AI50" s="16" t="e">
        <f t="shared" si="66"/>
        <v>#REF!</v>
      </c>
      <c r="AJ50" s="16" t="e">
        <f t="shared" si="66"/>
        <v>#REF!</v>
      </c>
      <c r="AK50" s="16" t="e">
        <f t="shared" si="66"/>
        <v>#REF!</v>
      </c>
      <c r="AL50" s="16" t="e">
        <f t="shared" si="66"/>
        <v>#REF!</v>
      </c>
      <c r="AM50" s="16" t="e">
        <f t="shared" si="66"/>
        <v>#REF!</v>
      </c>
      <c r="AN50" s="16" t="e">
        <f t="shared" si="66"/>
        <v>#REF!</v>
      </c>
      <c r="AO50" s="16" t="e">
        <f t="shared" si="66"/>
        <v>#REF!</v>
      </c>
      <c r="AP50" s="16" t="e">
        <f t="shared" si="66"/>
        <v>#REF!</v>
      </c>
      <c r="AQ50" s="16" t="e">
        <f t="shared" si="66"/>
        <v>#REF!</v>
      </c>
      <c r="AR50" s="16" t="e">
        <f t="shared" si="66"/>
        <v>#REF!</v>
      </c>
    </row>
    <row r="51" spans="2:44" x14ac:dyDescent="0.35">
      <c r="D51" s="16"/>
      <c r="E51" s="16">
        <f>E28/D28-1</f>
        <v>-0.30428467683369642</v>
      </c>
      <c r="F51" s="16">
        <f t="shared" ref="F51:Y52" si="68">F28/E28-1</f>
        <v>8.7265135699373664E-2</v>
      </c>
      <c r="G51" s="16">
        <f t="shared" si="68"/>
        <v>6.1251920122887826E-2</v>
      </c>
      <c r="H51" s="16">
        <f t="shared" si="68"/>
        <v>0.29907725710150168</v>
      </c>
      <c r="I51" s="16">
        <f t="shared" si="68"/>
        <v>0.6630919220055711</v>
      </c>
      <c r="J51" s="16">
        <f t="shared" si="68"/>
        <v>0.35256678670128139</v>
      </c>
      <c r="K51" s="16">
        <f t="shared" si="68"/>
        <v>0.23843724846758718</v>
      </c>
      <c r="L51" s="16">
        <f t="shared" si="68"/>
        <v>0.59699030096990291</v>
      </c>
      <c r="M51" s="16">
        <f t="shared" si="68"/>
        <v>0.14134552171054682</v>
      </c>
      <c r="N51" s="16">
        <f t="shared" si="68"/>
        <v>0.58275275659663173</v>
      </c>
      <c r="O51" s="16">
        <f t="shared" si="68"/>
        <v>0.71350339664494666</v>
      </c>
      <c r="P51" s="16">
        <f t="shared" si="68"/>
        <v>0.45250616934342003</v>
      </c>
      <c r="Q51" s="16">
        <f t="shared" si="68"/>
        <v>7.8270133270202935E-2</v>
      </c>
      <c r="R51" s="16">
        <f t="shared" si="68"/>
        <v>6.3754770468619881E-2</v>
      </c>
      <c r="S51" s="16">
        <f t="shared" si="68"/>
        <v>0.29790204696112466</v>
      </c>
      <c r="T51" s="16">
        <f t="shared" si="68"/>
        <v>-0.10530574445993102</v>
      </c>
      <c r="U51" s="16">
        <f t="shared" si="68"/>
        <v>4.1627677203841307E-2</v>
      </c>
      <c r="V51" s="16" t="e">
        <f t="shared" si="68"/>
        <v>#REF!</v>
      </c>
      <c r="W51" s="16" t="e">
        <f t="shared" si="68"/>
        <v>#REF!</v>
      </c>
      <c r="X51" s="16" t="e">
        <f t="shared" si="68"/>
        <v>#REF!</v>
      </c>
      <c r="Y51" s="16" t="e">
        <f t="shared" si="68"/>
        <v>#REF!</v>
      </c>
      <c r="Z51" s="24" t="e">
        <f>Z28/Y28-1</f>
        <v>#REF!</v>
      </c>
      <c r="AA51" s="16" t="e">
        <f>AA28/Z28-1</f>
        <v>#REF!</v>
      </c>
      <c r="AB51" s="16" t="e">
        <f>AB28/AA28-1</f>
        <v>#REF!</v>
      </c>
      <c r="AC51" s="16" t="e">
        <f>AC28/AB28-1</f>
        <v>#REF!</v>
      </c>
      <c r="AD51" s="16" t="e">
        <f t="shared" ref="AD51:AR52" si="69">AD28/AC28-1</f>
        <v>#REF!</v>
      </c>
      <c r="AE51" s="16" t="e">
        <f t="shared" si="69"/>
        <v>#REF!</v>
      </c>
      <c r="AF51" s="16" t="e">
        <f t="shared" si="69"/>
        <v>#REF!</v>
      </c>
      <c r="AG51" s="16" t="e">
        <f t="shared" si="69"/>
        <v>#REF!</v>
      </c>
      <c r="AH51" s="16" t="e">
        <f t="shared" si="69"/>
        <v>#REF!</v>
      </c>
      <c r="AI51" s="16" t="e">
        <f t="shared" si="69"/>
        <v>#REF!</v>
      </c>
      <c r="AJ51" s="16" t="e">
        <f t="shared" si="69"/>
        <v>#REF!</v>
      </c>
      <c r="AK51" s="16" t="e">
        <f t="shared" si="69"/>
        <v>#REF!</v>
      </c>
      <c r="AL51" s="16" t="e">
        <f t="shared" si="69"/>
        <v>#REF!</v>
      </c>
      <c r="AM51" s="16" t="e">
        <f t="shared" si="69"/>
        <v>#REF!</v>
      </c>
      <c r="AN51" s="16" t="e">
        <f t="shared" si="69"/>
        <v>#REF!</v>
      </c>
      <c r="AO51" s="16" t="e">
        <f t="shared" si="69"/>
        <v>#REF!</v>
      </c>
      <c r="AP51" s="16" t="e">
        <f t="shared" si="69"/>
        <v>#REF!</v>
      </c>
      <c r="AQ51" s="16" t="e">
        <f t="shared" si="69"/>
        <v>#REF!</v>
      </c>
      <c r="AR51" s="16" t="e">
        <f t="shared" si="69"/>
        <v>#REF!</v>
      </c>
    </row>
    <row r="52" spans="2:44" x14ac:dyDescent="0.35">
      <c r="D52" s="16"/>
      <c r="E52" s="16">
        <f>E29/D29-1</f>
        <v>-0.47814207650273222</v>
      </c>
      <c r="F52" s="16">
        <f t="shared" si="68"/>
        <v>-6.8062827225130906E-2</v>
      </c>
      <c r="G52" s="16">
        <f t="shared" si="68"/>
        <v>0.27340823970037453</v>
      </c>
      <c r="H52" s="16">
        <f t="shared" si="68"/>
        <v>0.61617647058823533</v>
      </c>
      <c r="I52" s="16">
        <f t="shared" si="68"/>
        <v>0.81073703366696992</v>
      </c>
      <c r="J52" s="16">
        <f t="shared" si="68"/>
        <v>0.58994974874371864</v>
      </c>
      <c r="K52" s="16">
        <f t="shared" si="68"/>
        <v>0.26548672566371678</v>
      </c>
      <c r="L52" s="16">
        <f t="shared" si="68"/>
        <v>0.38561438561438566</v>
      </c>
      <c r="M52" s="16">
        <f t="shared" si="68"/>
        <v>0.16204037490987733</v>
      </c>
      <c r="N52" s="16">
        <f t="shared" si="68"/>
        <v>0.16658911121451836</v>
      </c>
      <c r="O52" s="16">
        <f t="shared" si="68"/>
        <v>0.24624385055178832</v>
      </c>
      <c r="P52" s="16">
        <f t="shared" si="68"/>
        <v>0.37522671503254035</v>
      </c>
      <c r="Q52" s="16">
        <f t="shared" si="68"/>
        <v>0.24522885958107055</v>
      </c>
      <c r="R52" s="16">
        <f t="shared" si="68"/>
        <v>0.12535044545511176</v>
      </c>
      <c r="S52" s="16">
        <f t="shared" si="68"/>
        <v>0.10219786303493339</v>
      </c>
      <c r="T52" s="16">
        <f t="shared" si="68"/>
        <v>0.22296448842232164</v>
      </c>
      <c r="U52" s="16">
        <f t="shared" si="68"/>
        <v>0.23131263348118947</v>
      </c>
      <c r="V52" s="16" t="e">
        <f t="shared" si="68"/>
        <v>#REF!</v>
      </c>
      <c r="W52" s="16" t="e">
        <f t="shared" si="68"/>
        <v>#REF!</v>
      </c>
      <c r="X52" s="16" t="e">
        <f t="shared" si="68"/>
        <v>#REF!</v>
      </c>
      <c r="Y52" s="16" t="e">
        <f t="shared" si="68"/>
        <v>#REF!</v>
      </c>
      <c r="Z52" s="24" t="e">
        <f t="shared" ref="Z52" si="70">Z29/Y29-1</f>
        <v>#REF!</v>
      </c>
      <c r="AA52" s="16" t="e">
        <f>AA29/Z29-1</f>
        <v>#REF!</v>
      </c>
      <c r="AB52" s="16" t="e">
        <f>AB29/AA29-1</f>
        <v>#REF!</v>
      </c>
      <c r="AC52" s="16" t="e">
        <f>AC29/AB29-1</f>
        <v>#REF!</v>
      </c>
      <c r="AD52" s="16" t="e">
        <f t="shared" si="69"/>
        <v>#REF!</v>
      </c>
      <c r="AE52" s="16" t="e">
        <f t="shared" si="69"/>
        <v>#REF!</v>
      </c>
      <c r="AF52" s="16" t="e">
        <f t="shared" si="69"/>
        <v>#REF!</v>
      </c>
      <c r="AG52" s="16" t="e">
        <f>AG29/AF29-1</f>
        <v>#REF!</v>
      </c>
      <c r="AH52" s="16" t="e">
        <f t="shared" si="69"/>
        <v>#REF!</v>
      </c>
      <c r="AI52" s="16" t="e">
        <f t="shared" si="69"/>
        <v>#REF!</v>
      </c>
      <c r="AJ52" s="16" t="e">
        <f t="shared" si="69"/>
        <v>#REF!</v>
      </c>
      <c r="AK52" s="16" t="e">
        <f t="shared" si="69"/>
        <v>#REF!</v>
      </c>
      <c r="AL52" s="16" t="e">
        <f t="shared" si="69"/>
        <v>#REF!</v>
      </c>
      <c r="AM52" s="16" t="e">
        <f t="shared" si="69"/>
        <v>#REF!</v>
      </c>
      <c r="AN52" s="16" t="e">
        <f t="shared" si="69"/>
        <v>#REF!</v>
      </c>
      <c r="AO52" s="16" t="e">
        <f t="shared" si="69"/>
        <v>#REF!</v>
      </c>
      <c r="AP52" s="16" t="e">
        <f t="shared" si="69"/>
        <v>#REF!</v>
      </c>
      <c r="AQ52" s="16" t="e">
        <f t="shared" si="69"/>
        <v>#REF!</v>
      </c>
      <c r="AR52" s="16" t="e">
        <f t="shared" si="69"/>
        <v>#REF!</v>
      </c>
    </row>
    <row r="53" spans="2:44" x14ac:dyDescent="0.35">
      <c r="D53" s="16"/>
      <c r="E53" s="16">
        <f>E35/E30</f>
        <v>8.0179004288644412E-2</v>
      </c>
      <c r="F53" s="16">
        <f t="shared" ref="F53:AR53" si="71">F35/F30</f>
        <v>7.7673284569836298E-2</v>
      </c>
      <c r="G53" s="16">
        <f t="shared" si="71"/>
        <v>7.5882068632189464E-2</v>
      </c>
      <c r="H53" s="16">
        <f t="shared" si="71"/>
        <v>5.9065104481217538E-2</v>
      </c>
      <c r="I53" s="16">
        <f t="shared" si="71"/>
        <v>3.8331778048955566E-2</v>
      </c>
      <c r="J53" s="16">
        <f t="shared" si="71"/>
        <v>3.6862542065752006E-2</v>
      </c>
      <c r="K53" s="16">
        <f t="shared" si="71"/>
        <v>3.2575189535949345E-2</v>
      </c>
      <c r="L53" s="16">
        <f t="shared" si="71"/>
        <v>2.9580432637166254E-2</v>
      </c>
      <c r="M53" s="16">
        <f t="shared" si="71"/>
        <v>3.1068640018645847E-2</v>
      </c>
      <c r="N53" s="16">
        <f t="shared" si="71"/>
        <v>2.7320812571866616E-2</v>
      </c>
      <c r="O53" s="16">
        <f t="shared" si="71"/>
        <v>2.2439006364954873E-2</v>
      </c>
      <c r="P53" s="16">
        <f t="shared" si="71"/>
        <v>2.1602729572929181E-2</v>
      </c>
      <c r="Q53" s="16">
        <f t="shared" si="71"/>
        <v>2.6183371365045931E-2</v>
      </c>
      <c r="R53" s="16">
        <f t="shared" si="71"/>
        <v>3.3047949889220163E-2</v>
      </c>
      <c r="S53" s="16">
        <f t="shared" si="71"/>
        <v>3.4516398177267184E-2</v>
      </c>
      <c r="T53" s="16">
        <f t="shared" si="71"/>
        <v>4.6582482760539605E-2</v>
      </c>
      <c r="U53" s="16">
        <f t="shared" si="71"/>
        <v>5.0520428906706681E-2</v>
      </c>
      <c r="V53" s="16" t="e">
        <f t="shared" si="71"/>
        <v>#REF!</v>
      </c>
      <c r="W53" s="16" t="e">
        <f t="shared" si="71"/>
        <v>#REF!</v>
      </c>
      <c r="X53" s="16" t="e">
        <f t="shared" si="71"/>
        <v>#REF!</v>
      </c>
      <c r="Y53" s="16" t="e">
        <f t="shared" si="71"/>
        <v>#REF!</v>
      </c>
      <c r="Z53" s="24" t="e">
        <f t="shared" si="71"/>
        <v>#REF!</v>
      </c>
      <c r="AA53" s="16" t="e">
        <f t="shared" si="71"/>
        <v>#REF!</v>
      </c>
      <c r="AB53" s="16" t="e">
        <f t="shared" si="71"/>
        <v>#REF!</v>
      </c>
      <c r="AC53" s="16" t="e">
        <f t="shared" si="71"/>
        <v>#REF!</v>
      </c>
      <c r="AD53" s="16" t="e">
        <f t="shared" si="71"/>
        <v>#REF!</v>
      </c>
      <c r="AE53" s="16" t="e">
        <f t="shared" si="71"/>
        <v>#REF!</v>
      </c>
      <c r="AF53" s="16" t="e">
        <f t="shared" si="71"/>
        <v>#REF!</v>
      </c>
      <c r="AG53" s="16" t="e">
        <f t="shared" si="71"/>
        <v>#REF!</v>
      </c>
      <c r="AH53" s="16" t="e">
        <f t="shared" si="71"/>
        <v>#REF!</v>
      </c>
      <c r="AI53" s="16" t="e">
        <f t="shared" si="71"/>
        <v>#REF!</v>
      </c>
      <c r="AJ53" s="16" t="e">
        <f t="shared" si="71"/>
        <v>#REF!</v>
      </c>
      <c r="AK53" s="16" t="e">
        <f t="shared" si="71"/>
        <v>#REF!</v>
      </c>
      <c r="AL53" s="16" t="e">
        <f t="shared" si="71"/>
        <v>#REF!</v>
      </c>
      <c r="AM53" s="16" t="e">
        <f t="shared" si="71"/>
        <v>#REF!</v>
      </c>
      <c r="AN53" s="16" t="e">
        <f t="shared" si="71"/>
        <v>#REF!</v>
      </c>
      <c r="AO53" s="16" t="e">
        <f t="shared" si="71"/>
        <v>#REF!</v>
      </c>
      <c r="AP53" s="16" t="e">
        <f t="shared" si="71"/>
        <v>#REF!</v>
      </c>
      <c r="AQ53" s="16" t="e">
        <f t="shared" si="71"/>
        <v>#REF!</v>
      </c>
      <c r="AR53" s="16" t="e">
        <f t="shared" si="71"/>
        <v>#REF!</v>
      </c>
    </row>
    <row r="54" spans="2:44" x14ac:dyDescent="0.35">
      <c r="E54" s="16">
        <f>E36/E30</f>
        <v>0.21219466716390081</v>
      </c>
      <c r="F54" s="16">
        <f t="shared" ref="F54:Y54" si="72">F36/F30</f>
        <v>0.19313827934517588</v>
      </c>
      <c r="G54" s="16">
        <f t="shared" si="72"/>
        <v>0.19526341227646207</v>
      </c>
      <c r="H54" s="16">
        <f>H36/H30</f>
        <v>0.17163908684623747</v>
      </c>
      <c r="I54" s="16">
        <f t="shared" si="72"/>
        <v>0.13344339961237528</v>
      </c>
      <c r="J54" s="16">
        <f t="shared" si="72"/>
        <v>0.12596427646906549</v>
      </c>
      <c r="K54" s="16">
        <f t="shared" si="72"/>
        <v>0.12342747646421728</v>
      </c>
      <c r="L54" s="16">
        <f t="shared" si="72"/>
        <v>0.10031740951161612</v>
      </c>
      <c r="M54" s="16">
        <f t="shared" si="72"/>
        <v>9.6702016082041722E-2</v>
      </c>
      <c r="N54" s="16">
        <f t="shared" si="72"/>
        <v>8.4584131851284022E-2</v>
      </c>
      <c r="O54" s="16">
        <f t="shared" si="72"/>
        <v>7.0199262810741903E-2</v>
      </c>
      <c r="P54" s="16">
        <f t="shared" si="72"/>
        <v>6.4150075395506934E-2</v>
      </c>
      <c r="Q54" s="16">
        <f t="shared" si="72"/>
        <v>6.3366684219764782E-2</v>
      </c>
      <c r="R54" s="16">
        <f t="shared" si="72"/>
        <v>6.5609015563883044E-2</v>
      </c>
      <c r="S54" s="16">
        <f t="shared" si="72"/>
        <v>6.1309714823609952E-2</v>
      </c>
      <c r="T54" s="16">
        <f t="shared" si="72"/>
        <v>6.5822972653369755E-2</v>
      </c>
      <c r="U54" s="16">
        <f t="shared" si="72"/>
        <v>6.6573893924984945E-2</v>
      </c>
      <c r="V54" s="16" t="e">
        <f>V36/V30</f>
        <v>#REF!</v>
      </c>
      <c r="W54" s="16" t="e">
        <f t="shared" si="72"/>
        <v>#REF!</v>
      </c>
      <c r="X54" s="16" t="e">
        <f t="shared" si="72"/>
        <v>#REF!</v>
      </c>
      <c r="Y54" s="16" t="e">
        <f t="shared" si="72"/>
        <v>#REF!</v>
      </c>
      <c r="Z54" s="24" t="e">
        <f>Z36/Z30</f>
        <v>#REF!</v>
      </c>
      <c r="AA54" s="16" t="e">
        <f>AA36/AA30</f>
        <v>#REF!</v>
      </c>
      <c r="AB54" s="16" t="e">
        <f t="shared" ref="AB54:AR54" si="73">AB36/AB30</f>
        <v>#REF!</v>
      </c>
      <c r="AC54" s="16" t="e">
        <f t="shared" si="73"/>
        <v>#REF!</v>
      </c>
      <c r="AD54" s="16" t="e">
        <f t="shared" si="73"/>
        <v>#REF!</v>
      </c>
      <c r="AE54" s="16" t="e">
        <f t="shared" si="73"/>
        <v>#REF!</v>
      </c>
      <c r="AF54" s="16" t="e">
        <f t="shared" si="73"/>
        <v>#REF!</v>
      </c>
      <c r="AG54" s="16" t="e">
        <f t="shared" si="73"/>
        <v>#REF!</v>
      </c>
      <c r="AH54" s="16" t="e">
        <f t="shared" si="73"/>
        <v>#REF!</v>
      </c>
      <c r="AI54" s="16" t="e">
        <f t="shared" si="73"/>
        <v>#REF!</v>
      </c>
      <c r="AJ54" s="16" t="e">
        <f t="shared" si="73"/>
        <v>#REF!</v>
      </c>
      <c r="AK54" s="16" t="e">
        <f t="shared" si="73"/>
        <v>#REF!</v>
      </c>
      <c r="AL54" s="16" t="e">
        <f t="shared" si="73"/>
        <v>#REF!</v>
      </c>
      <c r="AM54" s="16" t="e">
        <f t="shared" si="73"/>
        <v>#REF!</v>
      </c>
      <c r="AN54" s="16" t="e">
        <f t="shared" si="73"/>
        <v>#REF!</v>
      </c>
      <c r="AO54" s="16" t="e">
        <f t="shared" si="73"/>
        <v>#REF!</v>
      </c>
      <c r="AP54" s="16" t="e">
        <f t="shared" si="73"/>
        <v>#REF!</v>
      </c>
      <c r="AQ54" s="16" t="e">
        <f t="shared" si="73"/>
        <v>#REF!</v>
      </c>
      <c r="AR54" s="16" t="e">
        <f t="shared" si="73"/>
        <v>#REF!</v>
      </c>
    </row>
    <row r="55" spans="2:44" x14ac:dyDescent="0.35">
      <c r="B55" s="9"/>
      <c r="C55" s="9"/>
      <c r="D55" s="16">
        <f>D34/D30</f>
        <v>0.27132656895903795</v>
      </c>
      <c r="E55" s="16">
        <f t="shared" ref="E55:Z55" si="74">E34/E30</f>
        <v>0.23028155882901361</v>
      </c>
      <c r="F55" s="16">
        <f t="shared" si="74"/>
        <v>0.27917102055033088</v>
      </c>
      <c r="G55" s="16">
        <f t="shared" si="74"/>
        <v>0.27517319155791847</v>
      </c>
      <c r="H55" s="16">
        <f t="shared" si="74"/>
        <v>0.27285904094697427</v>
      </c>
      <c r="I55" s="16">
        <f t="shared" si="74"/>
        <v>0.29021606489124974</v>
      </c>
      <c r="J55" s="16">
        <f t="shared" si="74"/>
        <v>0.28982655966865128</v>
      </c>
      <c r="K55" s="16">
        <f t="shared" si="74"/>
        <v>0.33966508372906773</v>
      </c>
      <c r="L55" s="16">
        <f t="shared" si="74"/>
        <v>0.35200448107545812</v>
      </c>
      <c r="M55" s="16">
        <f t="shared" si="74"/>
        <v>0.40139843841044165</v>
      </c>
      <c r="N55" s="16">
        <f t="shared" si="74"/>
        <v>0.39377539287083174</v>
      </c>
      <c r="O55" s="16">
        <f t="shared" si="74"/>
        <v>0.40478895878945764</v>
      </c>
      <c r="P55" s="16">
        <f t="shared" si="74"/>
        <v>0.43871239808827661</v>
      </c>
      <c r="Q55" s="16">
        <f t="shared" si="74"/>
        <v>0.37624480720847231</v>
      </c>
      <c r="R55" s="16">
        <f t="shared" si="74"/>
        <v>0.38588035777783858</v>
      </c>
      <c r="S55" s="16">
        <f t="shared" si="74"/>
        <v>0.40059902017414373</v>
      </c>
      <c r="T55" s="16">
        <f>T34/T30</f>
        <v>0.39075955648097049</v>
      </c>
      <c r="U55" s="16">
        <f>U34/U30</f>
        <v>0.38469860491899105</v>
      </c>
      <c r="V55" s="16" t="e">
        <f>V34/V30</f>
        <v>#REF!</v>
      </c>
      <c r="W55" s="16" t="e">
        <f t="shared" si="74"/>
        <v>#REF!</v>
      </c>
      <c r="X55" s="16" t="e">
        <f t="shared" si="74"/>
        <v>#REF!</v>
      </c>
      <c r="Y55" s="16" t="e">
        <f t="shared" si="74"/>
        <v>#REF!</v>
      </c>
      <c r="Z55" s="24" t="e">
        <f t="shared" si="74"/>
        <v>#REF!</v>
      </c>
      <c r="AA55" s="16" t="e">
        <f>AA34/AA30</f>
        <v>#REF!</v>
      </c>
      <c r="AB55" s="16" t="e">
        <f t="shared" ref="AB55:AR55" si="75">AB34/AB30</f>
        <v>#REF!</v>
      </c>
      <c r="AC55" s="16" t="e">
        <f t="shared" si="75"/>
        <v>#REF!</v>
      </c>
      <c r="AD55" s="16" t="e">
        <f t="shared" si="75"/>
        <v>#REF!</v>
      </c>
      <c r="AE55" s="16" t="e">
        <f t="shared" si="75"/>
        <v>#REF!</v>
      </c>
      <c r="AF55" s="16" t="e">
        <f t="shared" si="75"/>
        <v>#REF!</v>
      </c>
      <c r="AG55" s="16" t="e">
        <f t="shared" si="75"/>
        <v>#REF!</v>
      </c>
      <c r="AH55" s="16" t="e">
        <f t="shared" si="75"/>
        <v>#REF!</v>
      </c>
      <c r="AI55" s="16" t="e">
        <f t="shared" si="75"/>
        <v>#REF!</v>
      </c>
      <c r="AJ55" s="16" t="e">
        <f t="shared" si="75"/>
        <v>#REF!</v>
      </c>
      <c r="AK55" s="16" t="e">
        <f t="shared" si="75"/>
        <v>#REF!</v>
      </c>
      <c r="AL55" s="16" t="e">
        <f t="shared" si="75"/>
        <v>#REF!</v>
      </c>
      <c r="AM55" s="16" t="e">
        <f t="shared" si="75"/>
        <v>#REF!</v>
      </c>
      <c r="AN55" s="16" t="e">
        <f t="shared" si="75"/>
        <v>#REF!</v>
      </c>
      <c r="AO55" s="16" t="e">
        <f t="shared" si="75"/>
        <v>#REF!</v>
      </c>
      <c r="AP55" s="16" t="e">
        <f t="shared" si="75"/>
        <v>#REF!</v>
      </c>
      <c r="AQ55" s="16" t="e">
        <f t="shared" si="75"/>
        <v>#REF!</v>
      </c>
      <c r="AR55" s="16" t="e">
        <f t="shared" si="75"/>
        <v>#REF!</v>
      </c>
    </row>
    <row r="56" spans="2:44" x14ac:dyDescent="0.35">
      <c r="B56" s="16"/>
      <c r="C56" s="16"/>
      <c r="D56" s="16"/>
      <c r="E56" s="16"/>
      <c r="F56" s="16"/>
      <c r="G56" s="16"/>
      <c r="H56" s="16"/>
      <c r="I56" s="16"/>
      <c r="J56" s="16"/>
      <c r="K56" s="16"/>
      <c r="L56" s="16"/>
      <c r="M56" s="16"/>
      <c r="N56" s="16"/>
      <c r="O56" s="16"/>
      <c r="P56" s="16"/>
      <c r="Q56" s="16"/>
      <c r="R56" s="16"/>
      <c r="S56" s="16"/>
      <c r="T56" s="16"/>
      <c r="U56" s="16"/>
      <c r="V56" s="16" t="e">
        <f>(V29-V32)/V29</f>
        <v>#REF!</v>
      </c>
      <c r="W56" s="16" t="e">
        <f t="shared" ref="W56:Z56" si="76">(W29-W32)/W29</f>
        <v>#REF!</v>
      </c>
      <c r="X56" s="16" t="e">
        <f t="shared" si="76"/>
        <v>#REF!</v>
      </c>
      <c r="Y56" s="16" t="e">
        <f>(Y29-Y32)/Y29</f>
        <v>#REF!</v>
      </c>
      <c r="Z56" s="24" t="e">
        <f t="shared" si="76"/>
        <v>#REF!</v>
      </c>
      <c r="AA56" s="16" t="e">
        <f>(AA29-AA32)/AA29</f>
        <v>#REF!</v>
      </c>
      <c r="AB56" s="16" t="e">
        <f t="shared" ref="AB56:AR56" si="77">(AB29-AB32)/AB29</f>
        <v>#REF!</v>
      </c>
      <c r="AC56" s="16" t="e">
        <f t="shared" si="77"/>
        <v>#REF!</v>
      </c>
      <c r="AD56" s="16" t="e">
        <f t="shared" si="77"/>
        <v>#REF!</v>
      </c>
      <c r="AE56" s="16" t="e">
        <f t="shared" si="77"/>
        <v>#REF!</v>
      </c>
      <c r="AF56" s="16" t="e">
        <f t="shared" si="77"/>
        <v>#REF!</v>
      </c>
      <c r="AG56" s="16" t="e">
        <f t="shared" si="77"/>
        <v>#REF!</v>
      </c>
      <c r="AH56" s="16" t="e">
        <f t="shared" si="77"/>
        <v>#REF!</v>
      </c>
      <c r="AI56" s="16" t="e">
        <f t="shared" si="77"/>
        <v>#REF!</v>
      </c>
      <c r="AJ56" s="16" t="e">
        <f t="shared" si="77"/>
        <v>#REF!</v>
      </c>
      <c r="AK56" s="16" t="e">
        <f t="shared" si="77"/>
        <v>#REF!</v>
      </c>
      <c r="AL56" s="16" t="e">
        <f t="shared" si="77"/>
        <v>#REF!</v>
      </c>
      <c r="AM56" s="16" t="e">
        <f t="shared" si="77"/>
        <v>#REF!</v>
      </c>
      <c r="AN56" s="16" t="e">
        <f t="shared" si="77"/>
        <v>#REF!</v>
      </c>
      <c r="AO56" s="16" t="e">
        <f t="shared" si="77"/>
        <v>#REF!</v>
      </c>
      <c r="AP56" s="16" t="e">
        <f t="shared" si="77"/>
        <v>#REF!</v>
      </c>
      <c r="AQ56" s="16" t="e">
        <f t="shared" si="77"/>
        <v>#REF!</v>
      </c>
      <c r="AR56" s="16" t="e">
        <f t="shared" si="77"/>
        <v>#REF!</v>
      </c>
    </row>
    <row r="57" spans="2:44" x14ac:dyDescent="0.35">
      <c r="D57" s="16"/>
      <c r="E57" s="16"/>
      <c r="F57" s="16"/>
      <c r="G57" s="16"/>
      <c r="H57" s="16"/>
      <c r="I57" s="16"/>
      <c r="J57" s="16"/>
      <c r="K57" s="16"/>
      <c r="L57" s="16"/>
      <c r="M57" s="16"/>
      <c r="N57" s="16"/>
      <c r="O57" s="16"/>
      <c r="P57" s="16"/>
      <c r="Q57" s="16"/>
      <c r="R57" s="16"/>
      <c r="S57" s="16"/>
      <c r="T57" s="16"/>
      <c r="U57" s="16"/>
      <c r="V57" s="16" t="e">
        <f>(V28-V31)/V28</f>
        <v>#REF!</v>
      </c>
      <c r="W57" s="16">
        <f t="shared" ref="W57:Y57" si="78">(W28-W31)/W28</f>
        <v>0.32207795851002652</v>
      </c>
      <c r="X57" s="16" t="e">
        <f t="shared" si="78"/>
        <v>#REF!</v>
      </c>
      <c r="Y57" s="16" t="e">
        <f t="shared" si="78"/>
        <v>#REF!</v>
      </c>
      <c r="Z57" s="24" t="e">
        <f>(Z28-Z31)/Z28</f>
        <v>#REF!</v>
      </c>
      <c r="AA57" s="16" t="e">
        <f>(AA28-AA31)/AA28</f>
        <v>#REF!</v>
      </c>
      <c r="AB57" s="16" t="e">
        <f t="shared" ref="AB57:AR57" si="79">(AB28-AB31)/AB28</f>
        <v>#REF!</v>
      </c>
      <c r="AC57" s="16" t="e">
        <f t="shared" si="79"/>
        <v>#REF!</v>
      </c>
      <c r="AD57" s="16" t="e">
        <f t="shared" si="79"/>
        <v>#REF!</v>
      </c>
      <c r="AE57" s="16" t="e">
        <f t="shared" si="79"/>
        <v>#REF!</v>
      </c>
      <c r="AF57" s="16" t="e">
        <f t="shared" si="79"/>
        <v>#REF!</v>
      </c>
      <c r="AG57" s="16" t="e">
        <f t="shared" si="79"/>
        <v>#REF!</v>
      </c>
      <c r="AH57" s="16" t="e">
        <f t="shared" si="79"/>
        <v>#REF!</v>
      </c>
      <c r="AI57" s="16" t="e">
        <f t="shared" si="79"/>
        <v>#REF!</v>
      </c>
      <c r="AJ57" s="16" t="e">
        <f t="shared" si="79"/>
        <v>#REF!</v>
      </c>
      <c r="AK57" s="16" t="e">
        <f t="shared" si="79"/>
        <v>#REF!</v>
      </c>
      <c r="AL57" s="16" t="e">
        <f t="shared" si="79"/>
        <v>#REF!</v>
      </c>
      <c r="AM57" s="16" t="e">
        <f t="shared" si="79"/>
        <v>#REF!</v>
      </c>
      <c r="AN57" s="16" t="e">
        <f t="shared" si="79"/>
        <v>#REF!</v>
      </c>
      <c r="AO57" s="16" t="e">
        <f t="shared" si="79"/>
        <v>#REF!</v>
      </c>
      <c r="AP57" s="16" t="e">
        <f t="shared" si="79"/>
        <v>#REF!</v>
      </c>
      <c r="AQ57" s="16" t="e">
        <f t="shared" si="79"/>
        <v>#REF!</v>
      </c>
      <c r="AR57" s="16" t="e">
        <f t="shared" si="79"/>
        <v>#REF!</v>
      </c>
    </row>
    <row r="58" spans="2:44" x14ac:dyDescent="0.35">
      <c r="D58" s="16">
        <f>D38/D30</f>
        <v>7.7665038206188156E-2</v>
      </c>
      <c r="E58" s="16">
        <f t="shared" ref="E58:X58" si="80">E38/E30</f>
        <v>-6.2092112623531606E-2</v>
      </c>
      <c r="F58" s="16">
        <f t="shared" si="80"/>
        <v>8.3594566353187051E-3</v>
      </c>
      <c r="G58" s="16">
        <f t="shared" si="80"/>
        <v>4.0277106492669565E-3</v>
      </c>
      <c r="H58" s="16">
        <f t="shared" si="80"/>
        <v>4.2154849619519263E-2</v>
      </c>
      <c r="I58" s="16">
        <f t="shared" si="80"/>
        <v>0.11844088722991888</v>
      </c>
      <c r="J58" s="16">
        <f t="shared" si="80"/>
        <v>0.1269997411338338</v>
      </c>
      <c r="K58" s="16">
        <f t="shared" si="80"/>
        <v>0.1836624177289011</v>
      </c>
      <c r="L58" s="16">
        <f t="shared" si="80"/>
        <v>0.22210663892667573</v>
      </c>
      <c r="M58" s="16">
        <f t="shared" si="80"/>
        <v>0.2736277823097541</v>
      </c>
      <c r="N58" s="16">
        <f t="shared" si="80"/>
        <v>0.28187044844768111</v>
      </c>
      <c r="O58" s="16">
        <f t="shared" si="80"/>
        <v>0.31215068961376086</v>
      </c>
      <c r="P58" s="16">
        <f t="shared" si="80"/>
        <v>0.35295959311984054</v>
      </c>
      <c r="Q58" s="16">
        <f t="shared" si="80"/>
        <v>0.28669475162366159</v>
      </c>
      <c r="R58" s="16">
        <f t="shared" si="80"/>
        <v>0.28722339232473537</v>
      </c>
      <c r="S58" s="16">
        <f t="shared" si="80"/>
        <v>0.30477290717326661</v>
      </c>
      <c r="T58" s="16">
        <f t="shared" si="80"/>
        <v>0.27835410106706115</v>
      </c>
      <c r="U58" s="16">
        <f t="shared" si="80"/>
        <v>0.26760428208729942</v>
      </c>
      <c r="V58" s="16" t="e">
        <f t="shared" si="80"/>
        <v>#REF!</v>
      </c>
      <c r="W58" s="16" t="e">
        <f t="shared" si="80"/>
        <v>#REF!</v>
      </c>
      <c r="X58" s="16" t="e">
        <f t="shared" si="80"/>
        <v>#REF!</v>
      </c>
      <c r="Y58" s="16" t="e">
        <f>Y38/Y30</f>
        <v>#REF!</v>
      </c>
      <c r="Z58" s="24" t="e">
        <f>Z38/Z30</f>
        <v>#REF!</v>
      </c>
      <c r="AA58" s="16" t="e">
        <f>AA38/AA30</f>
        <v>#REF!</v>
      </c>
      <c r="AB58" s="16" t="e">
        <f t="shared" ref="AB58:AR58" si="81">AB38/AB30</f>
        <v>#REF!</v>
      </c>
      <c r="AC58" s="16" t="e">
        <f t="shared" si="81"/>
        <v>#REF!</v>
      </c>
      <c r="AD58" s="16" t="e">
        <f t="shared" si="81"/>
        <v>#REF!</v>
      </c>
      <c r="AE58" s="16" t="e">
        <f t="shared" si="81"/>
        <v>#REF!</v>
      </c>
      <c r="AF58" s="16" t="e">
        <f t="shared" si="81"/>
        <v>#REF!</v>
      </c>
      <c r="AG58" s="16" t="e">
        <f t="shared" si="81"/>
        <v>#REF!</v>
      </c>
      <c r="AH58" s="16" t="e">
        <f t="shared" si="81"/>
        <v>#REF!</v>
      </c>
      <c r="AI58" s="16" t="e">
        <f t="shared" si="81"/>
        <v>#REF!</v>
      </c>
      <c r="AJ58" s="16" t="e">
        <f>AJ38/AJ30</f>
        <v>#REF!</v>
      </c>
      <c r="AK58" s="16" t="e">
        <f t="shared" si="81"/>
        <v>#REF!</v>
      </c>
      <c r="AL58" s="16" t="e">
        <f t="shared" si="81"/>
        <v>#REF!</v>
      </c>
      <c r="AM58" s="16" t="e">
        <f t="shared" si="81"/>
        <v>#REF!</v>
      </c>
      <c r="AN58" s="16" t="e">
        <f t="shared" si="81"/>
        <v>#REF!</v>
      </c>
      <c r="AO58" s="16" t="e">
        <f t="shared" si="81"/>
        <v>#REF!</v>
      </c>
      <c r="AP58" s="16" t="e">
        <f t="shared" si="81"/>
        <v>#REF!</v>
      </c>
      <c r="AQ58" s="16" t="e">
        <f t="shared" si="81"/>
        <v>#REF!</v>
      </c>
      <c r="AR58" s="16" t="e">
        <f t="shared" si="81"/>
        <v>#REF!</v>
      </c>
    </row>
    <row r="59" spans="2:44" x14ac:dyDescent="0.35">
      <c r="D59" s="16">
        <f>D41/D40</f>
        <v>0.37181044957472659</v>
      </c>
      <c r="E59" s="16">
        <f t="shared" ref="E59:AR59" si="82">E41/E40</f>
        <v>0</v>
      </c>
      <c r="F59" s="16">
        <f t="shared" si="82"/>
        <v>0.1864406779661017</v>
      </c>
      <c r="G59" s="16">
        <f t="shared" si="82"/>
        <v>0.20338983050847459</v>
      </c>
      <c r="H59" s="16">
        <f t="shared" si="82"/>
        <v>0.26354679802955666</v>
      </c>
      <c r="I59" s="16">
        <f t="shared" si="82"/>
        <v>0.26446280991735538</v>
      </c>
      <c r="J59" s="16">
        <f t="shared" si="82"/>
        <v>0.29418026969481903</v>
      </c>
      <c r="K59" s="16">
        <f t="shared" si="82"/>
        <v>0.30191693290734822</v>
      </c>
      <c r="L59" s="16">
        <f t="shared" si="82"/>
        <v>0.3160836034424947</v>
      </c>
      <c r="M59" s="16">
        <f t="shared" si="82"/>
        <v>0.31750372948781702</v>
      </c>
      <c r="N59" s="16">
        <f t="shared" si="82"/>
        <v>0.24417475728155341</v>
      </c>
      <c r="O59" s="16">
        <f t="shared" si="82"/>
        <v>0.24215757930127174</v>
      </c>
      <c r="P59" s="16">
        <f t="shared" si="82"/>
        <v>0.25160052364471064</v>
      </c>
      <c r="Q59" s="16">
        <f t="shared" si="82"/>
        <v>0.26154919748778788</v>
      </c>
      <c r="R59" s="16">
        <f t="shared" si="82"/>
        <v>0.26126058747639436</v>
      </c>
      <c r="S59" s="16">
        <f t="shared" si="82"/>
        <v>0.26368337585327173</v>
      </c>
      <c r="T59" s="16">
        <f t="shared" si="82"/>
        <v>0.25557257381216192</v>
      </c>
      <c r="U59" s="16">
        <f t="shared" si="82"/>
        <v>0.24556476150353415</v>
      </c>
      <c r="V59" s="16" t="e">
        <f t="shared" si="82"/>
        <v>#REF!</v>
      </c>
      <c r="W59" s="16" t="e">
        <f t="shared" si="82"/>
        <v>#REF!</v>
      </c>
      <c r="X59" s="16" t="e">
        <f t="shared" si="82"/>
        <v>#REF!</v>
      </c>
      <c r="Y59" s="16" t="e">
        <f t="shared" si="82"/>
        <v>#REF!</v>
      </c>
      <c r="Z59" s="24" t="e">
        <f t="shared" si="82"/>
        <v>#REF!</v>
      </c>
      <c r="AA59" s="16" t="e">
        <f t="shared" si="82"/>
        <v>#REF!</v>
      </c>
      <c r="AB59" s="16" t="e">
        <f t="shared" si="82"/>
        <v>#REF!</v>
      </c>
      <c r="AC59" s="16" t="e">
        <f t="shared" si="82"/>
        <v>#REF!</v>
      </c>
      <c r="AD59" s="16" t="e">
        <f t="shared" si="82"/>
        <v>#REF!</v>
      </c>
      <c r="AE59" s="16" t="e">
        <f t="shared" si="82"/>
        <v>#REF!</v>
      </c>
      <c r="AF59" s="16" t="e">
        <f t="shared" si="82"/>
        <v>#REF!</v>
      </c>
      <c r="AG59" s="16" t="e">
        <f t="shared" si="82"/>
        <v>#REF!</v>
      </c>
      <c r="AH59" s="16" t="e">
        <f t="shared" si="82"/>
        <v>#REF!</v>
      </c>
      <c r="AI59" s="16" t="e">
        <f t="shared" si="82"/>
        <v>#REF!</v>
      </c>
      <c r="AJ59" s="16" t="e">
        <f t="shared" si="82"/>
        <v>#REF!</v>
      </c>
      <c r="AK59" s="16" t="e">
        <f t="shared" si="82"/>
        <v>#REF!</v>
      </c>
      <c r="AL59" s="16" t="e">
        <f t="shared" si="82"/>
        <v>#REF!</v>
      </c>
      <c r="AM59" s="16" t="e">
        <f t="shared" si="82"/>
        <v>#REF!</v>
      </c>
      <c r="AN59" s="16" t="e">
        <f t="shared" si="82"/>
        <v>#REF!</v>
      </c>
      <c r="AO59" s="16" t="e">
        <f t="shared" si="82"/>
        <v>#REF!</v>
      </c>
      <c r="AP59" s="16" t="e">
        <f t="shared" si="82"/>
        <v>#REF!</v>
      </c>
      <c r="AQ59" s="16" t="e">
        <f t="shared" si="82"/>
        <v>#REF!</v>
      </c>
      <c r="AR59" s="16" t="e">
        <f t="shared" si="82"/>
        <v>#REF!</v>
      </c>
    </row>
    <row r="60" spans="2:44" x14ac:dyDescent="0.35">
      <c r="Z60" s="22"/>
    </row>
    <row r="61" spans="2:44" x14ac:dyDescent="0.35">
      <c r="U61" s="9"/>
      <c r="V61" s="9"/>
      <c r="AA61" s="26"/>
    </row>
    <row r="62" spans="2:44" x14ac:dyDescent="0.35">
      <c r="Z62"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Model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Wilburn</dc:creator>
  <cp:lastModifiedBy>Adrian Wilburn</cp:lastModifiedBy>
  <dcterms:created xsi:type="dcterms:W3CDTF">2023-06-18T02:02:17Z</dcterms:created>
  <dcterms:modified xsi:type="dcterms:W3CDTF">2023-08-31T04:12:49Z</dcterms:modified>
</cp:coreProperties>
</file>