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rian Wilburn\Desktop\Finance\DCFs\"/>
    </mc:Choice>
  </mc:AlternateContent>
  <xr:revisionPtr revIDLastSave="0" documentId="13_ncr:1_{A9C73567-E933-4322-9A92-97FDCF6736C0}" xr6:coauthVersionLast="47" xr6:coauthVersionMax="47" xr10:uidLastSave="{00000000-0000-0000-0000-000000000000}"/>
  <bookViews>
    <workbookView xWindow="-25710" yWindow="-110" windowWidth="25820" windowHeight="28300" activeTab="1" xr2:uid="{FA19C3AB-EE51-4577-BDB2-3A4801394F8D}"/>
  </bookViews>
  <sheets>
    <sheet name="Cover" sheetId="2" r:id="rId1"/>
    <sheet name="Model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4" i="2" l="1"/>
  <c r="G73" i="2"/>
  <c r="G72" i="2"/>
  <c r="G71" i="2"/>
  <c r="D72" i="2"/>
  <c r="F63" i="2"/>
  <c r="D63" i="2"/>
  <c r="F61" i="2"/>
  <c r="D61" i="2"/>
  <c r="F60" i="2"/>
  <c r="D60" i="2"/>
  <c r="F59" i="2"/>
  <c r="D59" i="2"/>
  <c r="F58" i="2"/>
  <c r="D58" i="2"/>
  <c r="F57" i="2"/>
  <c r="D57" i="2"/>
  <c r="F56" i="2"/>
  <c r="D56" i="2"/>
  <c r="CC27" i="1"/>
  <c r="CC26" i="1"/>
  <c r="CC25" i="1"/>
  <c r="CC24" i="1"/>
  <c r="BZ25" i="1"/>
  <c r="CB9" i="1"/>
  <c r="BZ13" i="1"/>
  <c r="AW54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BB53" i="1"/>
  <c r="AF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G53" i="1"/>
  <c r="BD44" i="1"/>
  <c r="BE44" i="1" s="1"/>
  <c r="BF44" i="1" s="1"/>
  <c r="BG44" i="1" s="1"/>
  <c r="BH44" i="1" s="1"/>
  <c r="BI44" i="1" s="1"/>
  <c r="BJ44" i="1" s="1"/>
  <c r="BK44" i="1" s="1"/>
  <c r="BL44" i="1" s="1"/>
  <c r="BM44" i="1" s="1"/>
  <c r="BN44" i="1" s="1"/>
  <c r="BO44" i="1" s="1"/>
  <c r="BP44" i="1" s="1"/>
  <c r="BQ44" i="1" s="1"/>
  <c r="BR44" i="1" s="1"/>
  <c r="BS44" i="1" s="1"/>
  <c r="BC44" i="1"/>
  <c r="BB56" i="1"/>
  <c r="BZ14" i="1"/>
  <c r="BB55" i="1"/>
  <c r="BC29" i="1"/>
  <c r="BC32" i="1" s="1"/>
  <c r="BC56" i="1" s="1"/>
  <c r="BB52" i="1"/>
  <c r="BC25" i="1"/>
  <c r="BD25" i="1" s="1"/>
  <c r="BE25" i="1" s="1"/>
  <c r="BF25" i="1" s="1"/>
  <c r="BG25" i="1" s="1"/>
  <c r="BH25" i="1" s="1"/>
  <c r="BI25" i="1" s="1"/>
  <c r="BJ25" i="1" s="1"/>
  <c r="BK25" i="1" s="1"/>
  <c r="BL25" i="1" s="1"/>
  <c r="BM25" i="1" s="1"/>
  <c r="BN25" i="1" s="1"/>
  <c r="BO25" i="1" s="1"/>
  <c r="BP25" i="1" s="1"/>
  <c r="BQ25" i="1" s="1"/>
  <c r="BR25" i="1" s="1"/>
  <c r="BS25" i="1" s="1"/>
  <c r="BS49" i="1" s="1"/>
  <c r="BC24" i="1"/>
  <c r="BD24" i="1" s="1"/>
  <c r="BE24" i="1" s="1"/>
  <c r="BF24" i="1" s="1"/>
  <c r="BG24" i="1" s="1"/>
  <c r="BH24" i="1" s="1"/>
  <c r="BI24" i="1" s="1"/>
  <c r="BJ24" i="1" s="1"/>
  <c r="BK24" i="1" s="1"/>
  <c r="BL24" i="1" s="1"/>
  <c r="BM24" i="1" s="1"/>
  <c r="BN24" i="1" s="1"/>
  <c r="BO24" i="1" s="1"/>
  <c r="BP24" i="1" s="1"/>
  <c r="BQ24" i="1" s="1"/>
  <c r="BR24" i="1" s="1"/>
  <c r="BS24" i="1" s="1"/>
  <c r="BS48" i="1" s="1"/>
  <c r="BD39" i="1"/>
  <c r="BE39" i="1" s="1"/>
  <c r="BF39" i="1" s="1"/>
  <c r="BG39" i="1" s="1"/>
  <c r="BH39" i="1" s="1"/>
  <c r="BI39" i="1" s="1"/>
  <c r="BJ39" i="1" s="1"/>
  <c r="BK39" i="1" s="1"/>
  <c r="BL39" i="1" s="1"/>
  <c r="BM39" i="1" s="1"/>
  <c r="BN39" i="1" s="1"/>
  <c r="BO39" i="1" s="1"/>
  <c r="BP39" i="1" s="1"/>
  <c r="BQ39" i="1" s="1"/>
  <c r="BR39" i="1" s="1"/>
  <c r="BS39" i="1" s="1"/>
  <c r="BC39" i="1"/>
  <c r="Y24" i="1"/>
  <c r="Y48" i="1"/>
  <c r="Z20" i="1"/>
  <c r="Y20" i="1"/>
  <c r="Z47" i="1"/>
  <c r="Y47" i="1"/>
  <c r="Z46" i="1"/>
  <c r="Y46" i="1"/>
  <c r="CB12" i="1"/>
  <c r="Z36" i="1"/>
  <c r="Y36" i="1"/>
  <c r="BZ16" i="1"/>
  <c r="CB16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G54" i="1"/>
  <c r="AF54" i="1"/>
  <c r="AI54" i="1"/>
  <c r="BB57" i="1"/>
  <c r="BA57" i="1"/>
  <c r="BB46" i="1"/>
  <c r="BB47" i="1"/>
  <c r="BB49" i="1"/>
  <c r="BB50" i="1"/>
  <c r="BB51" i="1"/>
  <c r="BZ9" i="1"/>
  <c r="AY47" i="1"/>
  <c r="CB14" i="1"/>
  <c r="CB13" i="1"/>
  <c r="BA54" i="1"/>
  <c r="BA58" i="1"/>
  <c r="AZ58" i="1"/>
  <c r="BA51" i="1"/>
  <c r="AZ56" i="1"/>
  <c r="X57" i="1"/>
  <c r="Y57" i="1"/>
  <c r="Y31" i="1" s="1"/>
  <c r="AX57" i="1"/>
  <c r="AY57" i="1"/>
  <c r="AZ57" i="1"/>
  <c r="AW57" i="1"/>
  <c r="AW56" i="1"/>
  <c r="AX56" i="1"/>
  <c r="AY56" i="1"/>
  <c r="BA56" i="1"/>
  <c r="AW55" i="1"/>
  <c r="AV55" i="1"/>
  <c r="AU55" i="1"/>
  <c r="AE55" i="1"/>
  <c r="AG54" i="1"/>
  <c r="AH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X54" i="1"/>
  <c r="AY54" i="1"/>
  <c r="AZ54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AF52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AF51" i="1"/>
  <c r="AF50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AX48" i="1"/>
  <c r="AY48" i="1"/>
  <c r="AZ48" i="1"/>
  <c r="BA48" i="1"/>
  <c r="BB48" i="1"/>
  <c r="AF48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BA29" i="1"/>
  <c r="BA26" i="1"/>
  <c r="Y50" i="1"/>
  <c r="L50" i="1"/>
  <c r="BB44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AU59" i="1"/>
  <c r="AV59" i="1"/>
  <c r="AW59" i="1"/>
  <c r="AX59" i="1"/>
  <c r="AY59" i="1"/>
  <c r="AZ59" i="1"/>
  <c r="AE59" i="1"/>
  <c r="X59" i="1"/>
  <c r="AE58" i="1"/>
  <c r="X58" i="1"/>
  <c r="X56" i="1"/>
  <c r="BA44" i="1"/>
  <c r="BB21" i="1"/>
  <c r="BB22" i="1"/>
  <c r="BB23" i="1"/>
  <c r="BB24" i="1"/>
  <c r="BB25" i="1"/>
  <c r="BB26" i="1"/>
  <c r="BB27" i="1"/>
  <c r="BB28" i="1"/>
  <c r="BB29" i="1"/>
  <c r="BB30" i="1"/>
  <c r="BB32" i="1"/>
  <c r="BB39" i="1"/>
  <c r="BB20" i="1"/>
  <c r="Y35" i="1"/>
  <c r="Y32" i="1"/>
  <c r="Z31" i="1"/>
  <c r="Z33" i="1" s="1"/>
  <c r="Z34" i="1" s="1"/>
  <c r="Z57" i="1"/>
  <c r="Z56" i="1"/>
  <c r="Z32" i="1" s="1"/>
  <c r="Y56" i="1"/>
  <c r="Y53" i="1"/>
  <c r="Y52" i="1"/>
  <c r="Z52" i="1"/>
  <c r="Y49" i="1"/>
  <c r="Z49" i="1"/>
  <c r="Z50" i="1"/>
  <c r="Y51" i="1"/>
  <c r="Z51" i="1"/>
  <c r="Z48" i="1"/>
  <c r="Z24" i="1"/>
  <c r="Z25" i="1"/>
  <c r="Z26" i="1"/>
  <c r="Y26" i="1"/>
  <c r="Y25" i="1"/>
  <c r="X47" i="1"/>
  <c r="Y28" i="1"/>
  <c r="AB20" i="1"/>
  <c r="AB24" i="1"/>
  <c r="AB25" i="1"/>
  <c r="AB26" i="1"/>
  <c r="Y29" i="1"/>
  <c r="V22" i="1"/>
  <c r="Z28" i="1"/>
  <c r="G22" i="1"/>
  <c r="H22" i="1"/>
  <c r="I22" i="1"/>
  <c r="J22" i="1"/>
  <c r="AZ44" i="1"/>
  <c r="AY44" i="1"/>
  <c r="BA41" i="1"/>
  <c r="AZ41" i="1"/>
  <c r="AY41" i="1"/>
  <c r="BA39" i="1"/>
  <c r="AZ39" i="1"/>
  <c r="AY39" i="1"/>
  <c r="BA36" i="1"/>
  <c r="AZ36" i="1"/>
  <c r="AY36" i="1"/>
  <c r="BA35" i="1"/>
  <c r="AZ35" i="1"/>
  <c r="AY35" i="1"/>
  <c r="BA32" i="1"/>
  <c r="AZ32" i="1"/>
  <c r="AY32" i="1"/>
  <c r="BA31" i="1"/>
  <c r="AZ31" i="1"/>
  <c r="AZ33" i="1" s="1"/>
  <c r="AZ29" i="1"/>
  <c r="AY29" i="1"/>
  <c r="BA20" i="1"/>
  <c r="AZ20" i="1"/>
  <c r="AY20" i="1"/>
  <c r="BA24" i="1"/>
  <c r="AZ24" i="1"/>
  <c r="AY24" i="1"/>
  <c r="BA25" i="1"/>
  <c r="AY25" i="1"/>
  <c r="AY26" i="1"/>
  <c r="AZ25" i="1"/>
  <c r="AZ26" i="1"/>
  <c r="AY21" i="1"/>
  <c r="AX33" i="1"/>
  <c r="AY31" i="1"/>
  <c r="AW33" i="1"/>
  <c r="AV47" i="1"/>
  <c r="AU47" i="1"/>
  <c r="AT47" i="1"/>
  <c r="AS47" i="1"/>
  <c r="AR47" i="1"/>
  <c r="AQ47" i="1"/>
  <c r="AP47" i="1"/>
  <c r="AO47" i="1"/>
  <c r="AN47" i="1"/>
  <c r="AM47" i="1"/>
  <c r="AW44" i="1"/>
  <c r="AX37" i="1"/>
  <c r="AW37" i="1"/>
  <c r="AV37" i="1"/>
  <c r="AU37" i="1"/>
  <c r="AT37" i="1"/>
  <c r="AS37" i="1"/>
  <c r="AR37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O29" i="1"/>
  <c r="AN29" i="1"/>
  <c r="AM29" i="1"/>
  <c r="AL29" i="1"/>
  <c r="AK29" i="1"/>
  <c r="AJ29" i="1"/>
  <c r="AI29" i="1"/>
  <c r="AH29" i="1"/>
  <c r="AG29" i="1"/>
  <c r="AF29" i="1"/>
  <c r="AX28" i="1"/>
  <c r="AV28" i="1"/>
  <c r="AU28" i="1"/>
  <c r="AT28" i="1"/>
  <c r="AF28" i="1"/>
  <c r="AS26" i="1"/>
  <c r="AS28" i="1" s="1"/>
  <c r="AR26" i="1"/>
  <c r="AR28" i="1" s="1"/>
  <c r="AR30" i="1" s="1"/>
  <c r="AQ26" i="1"/>
  <c r="AQ28" i="1" s="1"/>
  <c r="AP26" i="1"/>
  <c r="AP28" i="1" s="1"/>
  <c r="AP30" i="1" s="1"/>
  <c r="AO26" i="1"/>
  <c r="AO28" i="1" s="1"/>
  <c r="AN26" i="1"/>
  <c r="AN28" i="1" s="1"/>
  <c r="AM26" i="1"/>
  <c r="AM28" i="1" s="1"/>
  <c r="AL26" i="1"/>
  <c r="AL28" i="1" s="1"/>
  <c r="AK26" i="1"/>
  <c r="AK28" i="1" s="1"/>
  <c r="AJ26" i="1"/>
  <c r="AJ28" i="1" s="1"/>
  <c r="AI26" i="1"/>
  <c r="AI28" i="1" s="1"/>
  <c r="AH26" i="1"/>
  <c r="AH28" i="1" s="1"/>
  <c r="AG26" i="1"/>
  <c r="AG28" i="1" s="1"/>
  <c r="AE24" i="1"/>
  <c r="AE28" i="1" s="1"/>
  <c r="AU22" i="1"/>
  <c r="AT22" i="1"/>
  <c r="AS22" i="1"/>
  <c r="AR22" i="1"/>
  <c r="AQ22" i="1"/>
  <c r="AP22" i="1"/>
  <c r="AO22" i="1"/>
  <c r="AN22" i="1"/>
  <c r="AZ21" i="1"/>
  <c r="AX21" i="1"/>
  <c r="AX22" i="1" s="1"/>
  <c r="BC2" i="1"/>
  <c r="BD2" i="1" s="1"/>
  <c r="BE2" i="1" s="1"/>
  <c r="BF2" i="1" s="1"/>
  <c r="BG2" i="1" s="1"/>
  <c r="BH2" i="1" s="1"/>
  <c r="BI2" i="1" s="1"/>
  <c r="BJ2" i="1" s="1"/>
  <c r="BK2" i="1" s="1"/>
  <c r="BL2" i="1" s="1"/>
  <c r="BM2" i="1" s="1"/>
  <c r="BN2" i="1" s="1"/>
  <c r="BO2" i="1" s="1"/>
  <c r="BP2" i="1" s="1"/>
  <c r="BQ2" i="1" s="1"/>
  <c r="BR2" i="1" s="1"/>
  <c r="BS2" i="1" s="1"/>
  <c r="Y44" i="1"/>
  <c r="Z44" i="1" s="1"/>
  <c r="Y39" i="1"/>
  <c r="Z39" i="1" s="1"/>
  <c r="X37" i="1"/>
  <c r="X30" i="1"/>
  <c r="H50" i="1"/>
  <c r="I50" i="1"/>
  <c r="K50" i="1"/>
  <c r="M50" i="1"/>
  <c r="O50" i="1"/>
  <c r="P50" i="1"/>
  <c r="Q50" i="1"/>
  <c r="R50" i="1"/>
  <c r="S50" i="1"/>
  <c r="T50" i="1"/>
  <c r="U50" i="1"/>
  <c r="V50" i="1"/>
  <c r="W50" i="1"/>
  <c r="X50" i="1"/>
  <c r="G50" i="1"/>
  <c r="H49" i="1"/>
  <c r="I49" i="1"/>
  <c r="K49" i="1"/>
  <c r="L49" i="1"/>
  <c r="M49" i="1"/>
  <c r="O49" i="1"/>
  <c r="P49" i="1"/>
  <c r="Q49" i="1"/>
  <c r="R49" i="1"/>
  <c r="S49" i="1"/>
  <c r="T49" i="1"/>
  <c r="U49" i="1"/>
  <c r="V49" i="1"/>
  <c r="W49" i="1"/>
  <c r="X49" i="1"/>
  <c r="G49" i="1"/>
  <c r="H48" i="1"/>
  <c r="I48" i="1"/>
  <c r="K48" i="1"/>
  <c r="L48" i="1"/>
  <c r="M48" i="1"/>
  <c r="O48" i="1"/>
  <c r="P48" i="1"/>
  <c r="Q48" i="1"/>
  <c r="R48" i="1"/>
  <c r="S48" i="1"/>
  <c r="T48" i="1"/>
  <c r="U48" i="1"/>
  <c r="V48" i="1"/>
  <c r="W48" i="1"/>
  <c r="X48" i="1"/>
  <c r="G48" i="1"/>
  <c r="H52" i="1"/>
  <c r="I52" i="1"/>
  <c r="K52" i="1"/>
  <c r="L52" i="1"/>
  <c r="M52" i="1"/>
  <c r="G52" i="1"/>
  <c r="O52" i="1"/>
  <c r="U98" i="1"/>
  <c r="U97" i="1"/>
  <c r="U85" i="1"/>
  <c r="U77" i="1"/>
  <c r="U76" i="1"/>
  <c r="U73" i="1"/>
  <c r="T98" i="1"/>
  <c r="T97" i="1"/>
  <c r="T96" i="1"/>
  <c r="T95" i="1"/>
  <c r="U95" i="1" s="1"/>
  <c r="V95" i="1" s="1"/>
  <c r="T94" i="1"/>
  <c r="U94" i="1" s="1"/>
  <c r="T85" i="1"/>
  <c r="T83" i="1"/>
  <c r="T82" i="1"/>
  <c r="V82" i="1" s="1"/>
  <c r="T84" i="1"/>
  <c r="U84" i="1" s="1"/>
  <c r="V84" i="1" s="1"/>
  <c r="X84" i="1"/>
  <c r="U64" i="1"/>
  <c r="U71" i="1" s="1"/>
  <c r="T76" i="1"/>
  <c r="T79" i="1" s="1"/>
  <c r="S65" i="1"/>
  <c r="S76" i="1"/>
  <c r="S79" i="1" s="1"/>
  <c r="S97" i="1"/>
  <c r="S99" i="1" s="1"/>
  <c r="V76" i="1"/>
  <c r="V79" i="1" s="1"/>
  <c r="W89" i="1"/>
  <c r="X89" i="1" s="1"/>
  <c r="V91" i="1"/>
  <c r="T91" i="1"/>
  <c r="U91" i="1" s="1"/>
  <c r="T90" i="1"/>
  <c r="U90" i="1" s="1"/>
  <c r="V90" i="1" s="1"/>
  <c r="S89" i="1"/>
  <c r="S92" i="1" s="1"/>
  <c r="S86" i="1"/>
  <c r="T86" i="1" s="1"/>
  <c r="U86" i="1" s="1"/>
  <c r="V86" i="1" s="1"/>
  <c r="O86" i="1"/>
  <c r="P86" i="1" s="1"/>
  <c r="Q86" i="1" s="1"/>
  <c r="R86" i="1" s="1"/>
  <c r="D86" i="1"/>
  <c r="E86" i="1" s="1"/>
  <c r="F86" i="1" s="1"/>
  <c r="G86" i="1"/>
  <c r="H86" i="1" s="1"/>
  <c r="I86" i="1" s="1"/>
  <c r="J86" i="1" s="1"/>
  <c r="K86" i="1"/>
  <c r="L86" i="1" s="1"/>
  <c r="M86" i="1" s="1"/>
  <c r="N86" i="1" s="1"/>
  <c r="W86" i="1"/>
  <c r="X86" i="1" s="1"/>
  <c r="J18" i="1"/>
  <c r="J17" i="1"/>
  <c r="J16" i="1"/>
  <c r="J15" i="1"/>
  <c r="J14" i="1"/>
  <c r="C78" i="1"/>
  <c r="C75" i="1"/>
  <c r="C74" i="1"/>
  <c r="C64" i="1"/>
  <c r="C71" i="1" s="1"/>
  <c r="D64" i="1"/>
  <c r="D71" i="1" s="1"/>
  <c r="E64" i="1"/>
  <c r="E71" i="1" s="1"/>
  <c r="G64" i="1"/>
  <c r="G71" i="1" s="1"/>
  <c r="F64" i="1"/>
  <c r="F71" i="1" s="1"/>
  <c r="H64" i="1"/>
  <c r="H71" i="1" s="1"/>
  <c r="X64" i="1"/>
  <c r="X71" i="1" s="1"/>
  <c r="K64" i="1"/>
  <c r="K71" i="1" s="1"/>
  <c r="I64" i="1"/>
  <c r="I71" i="1" s="1"/>
  <c r="J64" i="1"/>
  <c r="J71" i="1" s="1"/>
  <c r="L64" i="1"/>
  <c r="L71" i="1" s="1"/>
  <c r="M64" i="1"/>
  <c r="M71" i="1" s="1"/>
  <c r="O64" i="1"/>
  <c r="O71" i="1" s="1"/>
  <c r="P64" i="1"/>
  <c r="P71" i="1" s="1"/>
  <c r="N64" i="1"/>
  <c r="N71" i="1" s="1"/>
  <c r="Q64" i="1"/>
  <c r="Q71" i="1" s="1"/>
  <c r="R64" i="1"/>
  <c r="R71" i="1" s="1"/>
  <c r="S64" i="1"/>
  <c r="T64" i="1"/>
  <c r="T71" i="1" s="1"/>
  <c r="J44" i="1"/>
  <c r="J41" i="1"/>
  <c r="J39" i="1"/>
  <c r="J36" i="1"/>
  <c r="J35" i="1"/>
  <c r="G44" i="1"/>
  <c r="G37" i="1"/>
  <c r="J32" i="1"/>
  <c r="J31" i="1"/>
  <c r="J29" i="1"/>
  <c r="N52" i="1" s="1"/>
  <c r="J26" i="1"/>
  <c r="N50" i="1" s="1"/>
  <c r="J25" i="1"/>
  <c r="N49" i="1" s="1"/>
  <c r="J24" i="1"/>
  <c r="N48" i="1" s="1"/>
  <c r="J20" i="1"/>
  <c r="N47" i="1" s="1"/>
  <c r="G28" i="1"/>
  <c r="G57" i="1" s="1"/>
  <c r="G33" i="1"/>
  <c r="F18" i="1"/>
  <c r="F17" i="1"/>
  <c r="F16" i="1"/>
  <c r="F15" i="1"/>
  <c r="F14" i="1"/>
  <c r="E33" i="1"/>
  <c r="H44" i="1"/>
  <c r="H33" i="1"/>
  <c r="H37" i="1"/>
  <c r="H28" i="1"/>
  <c r="H57" i="1" s="1"/>
  <c r="I28" i="1"/>
  <c r="I57" i="1" s="1"/>
  <c r="D56" i="1"/>
  <c r="E56" i="1"/>
  <c r="G56" i="1"/>
  <c r="H56" i="1"/>
  <c r="I56" i="1"/>
  <c r="K56" i="1"/>
  <c r="H47" i="1"/>
  <c r="I47" i="1"/>
  <c r="K47" i="1"/>
  <c r="L47" i="1"/>
  <c r="M47" i="1"/>
  <c r="G47" i="1"/>
  <c r="O47" i="1"/>
  <c r="I44" i="1"/>
  <c r="E44" i="1"/>
  <c r="I37" i="1"/>
  <c r="F35" i="1"/>
  <c r="I33" i="1"/>
  <c r="K33" i="1"/>
  <c r="K28" i="1"/>
  <c r="K57" i="1" s="1"/>
  <c r="BD29" i="1" l="1"/>
  <c r="BD52" i="1" s="1"/>
  <c r="BC52" i="1"/>
  <c r="BB36" i="1"/>
  <c r="BB54" i="1" s="1"/>
  <c r="BI48" i="1"/>
  <c r="BE49" i="1"/>
  <c r="BI49" i="1"/>
  <c r="BH49" i="1"/>
  <c r="BG49" i="1"/>
  <c r="BF49" i="1"/>
  <c r="BR49" i="1"/>
  <c r="BQ49" i="1"/>
  <c r="BD49" i="1"/>
  <c r="BP49" i="1"/>
  <c r="BC49" i="1"/>
  <c r="BO49" i="1"/>
  <c r="BN49" i="1"/>
  <c r="BM49" i="1"/>
  <c r="BL49" i="1"/>
  <c r="BK49" i="1"/>
  <c r="BJ49" i="1"/>
  <c r="BJ48" i="1"/>
  <c r="BH48" i="1"/>
  <c r="BG48" i="1"/>
  <c r="BF48" i="1"/>
  <c r="BR48" i="1"/>
  <c r="BE48" i="1"/>
  <c r="BQ48" i="1"/>
  <c r="BD48" i="1"/>
  <c r="BP48" i="1"/>
  <c r="BC48" i="1"/>
  <c r="BO48" i="1"/>
  <c r="BN48" i="1"/>
  <c r="BM48" i="1"/>
  <c r="BL48" i="1"/>
  <c r="BK48" i="1"/>
  <c r="BC20" i="1"/>
  <c r="BZ10" i="1"/>
  <c r="CB10" i="1"/>
  <c r="BZ12" i="1"/>
  <c r="BC26" i="1" s="1"/>
  <c r="Y33" i="1"/>
  <c r="BB31" i="1"/>
  <c r="Y30" i="1"/>
  <c r="AZ22" i="1"/>
  <c r="AY28" i="1"/>
  <c r="BA47" i="1"/>
  <c r="J37" i="1"/>
  <c r="BA28" i="1"/>
  <c r="BA30" i="1" s="1"/>
  <c r="AZ28" i="1"/>
  <c r="AX29" i="1"/>
  <c r="AO30" i="1"/>
  <c r="AP46" i="1" s="1"/>
  <c r="AF30" i="1"/>
  <c r="AF34" i="1" s="1"/>
  <c r="AF55" i="1" s="1"/>
  <c r="BA33" i="1"/>
  <c r="AY37" i="1"/>
  <c r="BA37" i="1"/>
  <c r="AY30" i="1"/>
  <c r="AZ37" i="1"/>
  <c r="AZ47" i="1"/>
  <c r="AY22" i="1"/>
  <c r="AY33" i="1"/>
  <c r="AR34" i="1"/>
  <c r="AR55" i="1" s="1"/>
  <c r="AQ30" i="1"/>
  <c r="AP34" i="1"/>
  <c r="AP55" i="1" s="1"/>
  <c r="AH30" i="1"/>
  <c r="AI30" i="1"/>
  <c r="AJ30" i="1"/>
  <c r="AE30" i="1"/>
  <c r="AM30" i="1"/>
  <c r="AN30" i="1"/>
  <c r="AG30" i="1"/>
  <c r="AS30" i="1"/>
  <c r="AT30" i="1"/>
  <c r="AU30" i="1"/>
  <c r="AV30" i="1"/>
  <c r="AK30" i="1"/>
  <c r="Z53" i="1"/>
  <c r="Z35" i="1" s="1"/>
  <c r="BB35" i="1" s="1"/>
  <c r="U79" i="1"/>
  <c r="V98" i="1"/>
  <c r="V85" i="1"/>
  <c r="V87" i="1" s="1"/>
  <c r="V97" i="1"/>
  <c r="J33" i="1"/>
  <c r="C79" i="1"/>
  <c r="J28" i="1"/>
  <c r="J57" i="1" s="1"/>
  <c r="T87" i="1"/>
  <c r="I30" i="1"/>
  <c r="I34" i="1" s="1"/>
  <c r="S71" i="1"/>
  <c r="T99" i="1"/>
  <c r="K51" i="1"/>
  <c r="S87" i="1"/>
  <c r="S101" i="1" s="1"/>
  <c r="U83" i="1"/>
  <c r="U87" i="1" s="1"/>
  <c r="V94" i="1"/>
  <c r="S63" i="1"/>
  <c r="H30" i="1"/>
  <c r="T89" i="1"/>
  <c r="U89" i="1" s="1"/>
  <c r="V89" i="1" s="1"/>
  <c r="V92" i="1" s="1"/>
  <c r="T63" i="1"/>
  <c r="U96" i="1"/>
  <c r="V96" i="1" s="1"/>
  <c r="G30" i="1"/>
  <c r="G34" i="1" s="1"/>
  <c r="W92" i="1"/>
  <c r="U63" i="1"/>
  <c r="J56" i="1"/>
  <c r="BE29" i="1" l="1"/>
  <c r="BE52" i="1" s="1"/>
  <c r="BD32" i="1"/>
  <c r="BD56" i="1" s="1"/>
  <c r="BD26" i="1"/>
  <c r="BD50" i="1" s="1"/>
  <c r="BC28" i="1"/>
  <c r="BC50" i="1"/>
  <c r="BD20" i="1"/>
  <c r="BC47" i="1"/>
  <c r="BZ11" i="1"/>
  <c r="CB11" i="1"/>
  <c r="BB33" i="1"/>
  <c r="Y34" i="1"/>
  <c r="AX30" i="1"/>
  <c r="AF46" i="1"/>
  <c r="AO34" i="1"/>
  <c r="AO55" i="1" s="1"/>
  <c r="BA34" i="1"/>
  <c r="BA55" i="1" s="1"/>
  <c r="AN34" i="1"/>
  <c r="AN55" i="1" s="1"/>
  <c r="AN46" i="1"/>
  <c r="AI34" i="1"/>
  <c r="AI55" i="1" s="1"/>
  <c r="AI46" i="1"/>
  <c r="AR38" i="1"/>
  <c r="AS46" i="1"/>
  <c r="AS34" i="1"/>
  <c r="AS55" i="1" s="1"/>
  <c r="AM46" i="1"/>
  <c r="AM34" i="1"/>
  <c r="AM55" i="1" s="1"/>
  <c r="AF38" i="1"/>
  <c r="AY34" i="1"/>
  <c r="AY55" i="1" s="1"/>
  <c r="AY46" i="1"/>
  <c r="AX34" i="1"/>
  <c r="AX55" i="1" s="1"/>
  <c r="AL34" i="1"/>
  <c r="AL55" i="1" s="1"/>
  <c r="AL46" i="1"/>
  <c r="AP38" i="1"/>
  <c r="AG34" i="1"/>
  <c r="AG55" i="1" s="1"/>
  <c r="AG46" i="1"/>
  <c r="AK34" i="1"/>
  <c r="AK55" i="1" s="1"/>
  <c r="AK46" i="1"/>
  <c r="AZ30" i="1"/>
  <c r="AE46" i="1"/>
  <c r="AE34" i="1"/>
  <c r="AQ46" i="1"/>
  <c r="AQ34" i="1"/>
  <c r="AQ55" i="1" s="1"/>
  <c r="AU34" i="1"/>
  <c r="AU46" i="1"/>
  <c r="AO46" i="1"/>
  <c r="AJ46" i="1"/>
  <c r="AJ34" i="1"/>
  <c r="AJ55" i="1" s="1"/>
  <c r="AH34" i="1"/>
  <c r="AH55" i="1" s="1"/>
  <c r="AH46" i="1"/>
  <c r="AV46" i="1"/>
  <c r="AV34" i="1"/>
  <c r="AT34" i="1"/>
  <c r="AT55" i="1" s="1"/>
  <c r="AT46" i="1"/>
  <c r="AO38" i="1"/>
  <c r="AR46" i="1"/>
  <c r="J30" i="1"/>
  <c r="J34" i="1" s="1"/>
  <c r="T92" i="1"/>
  <c r="T101" i="1" s="1"/>
  <c r="V99" i="1"/>
  <c r="V101" i="1" s="1"/>
  <c r="U92" i="1"/>
  <c r="G38" i="1"/>
  <c r="G55" i="1"/>
  <c r="U99" i="1"/>
  <c r="U101" i="1" s="1"/>
  <c r="H34" i="1"/>
  <c r="I38" i="1"/>
  <c r="I55" i="1"/>
  <c r="BF29" i="1" l="1"/>
  <c r="BF52" i="1" s="1"/>
  <c r="BE32" i="1"/>
  <c r="BE56" i="1" s="1"/>
  <c r="BC30" i="1"/>
  <c r="BC36" i="1" s="1"/>
  <c r="BC31" i="1"/>
  <c r="BC57" i="1" s="1"/>
  <c r="BE26" i="1"/>
  <c r="BD28" i="1"/>
  <c r="BD31" i="1" s="1"/>
  <c r="BD57" i="1" s="1"/>
  <c r="BC51" i="1"/>
  <c r="BE20" i="1"/>
  <c r="BD47" i="1"/>
  <c r="BB34" i="1"/>
  <c r="AM38" i="1"/>
  <c r="AG38" i="1"/>
  <c r="AT38" i="1"/>
  <c r="AR40" i="1"/>
  <c r="AV38" i="1"/>
  <c r="AL38" i="1"/>
  <c r="AE38" i="1"/>
  <c r="AX38" i="1"/>
  <c r="AI38" i="1"/>
  <c r="AO40" i="1"/>
  <c r="AQ38" i="1"/>
  <c r="AH38" i="1"/>
  <c r="AJ38" i="1"/>
  <c r="AN38" i="1"/>
  <c r="AU38" i="1"/>
  <c r="AS38" i="1"/>
  <c r="AZ34" i="1"/>
  <c r="AZ55" i="1" s="1"/>
  <c r="AZ46" i="1"/>
  <c r="AY38" i="1"/>
  <c r="AF40" i="1"/>
  <c r="BA46" i="1"/>
  <c r="AP40" i="1"/>
  <c r="AK38" i="1"/>
  <c r="BA38" i="1"/>
  <c r="J38" i="1"/>
  <c r="J55" i="1"/>
  <c r="H38" i="1"/>
  <c r="H55" i="1"/>
  <c r="G40" i="1"/>
  <c r="G58" i="1"/>
  <c r="I40" i="1"/>
  <c r="I58" i="1"/>
  <c r="BG29" i="1" l="1"/>
  <c r="BG52" i="1" s="1"/>
  <c r="BF32" i="1"/>
  <c r="BF56" i="1" s="1"/>
  <c r="BC33" i="1"/>
  <c r="BC34" i="1" s="1"/>
  <c r="BC35" i="1"/>
  <c r="BC37" i="1" s="1"/>
  <c r="BE28" i="1"/>
  <c r="BE50" i="1"/>
  <c r="BF26" i="1"/>
  <c r="BC54" i="1"/>
  <c r="BD30" i="1"/>
  <c r="BD36" i="1" s="1"/>
  <c r="BD33" i="1"/>
  <c r="BD51" i="1"/>
  <c r="BF20" i="1"/>
  <c r="BE47" i="1"/>
  <c r="BC46" i="1"/>
  <c r="AY40" i="1"/>
  <c r="AM40" i="1"/>
  <c r="AQ40" i="1"/>
  <c r="AS40" i="1"/>
  <c r="AV40" i="1"/>
  <c r="AK40" i="1"/>
  <c r="AO42" i="1"/>
  <c r="AO43" i="1" s="1"/>
  <c r="AU40" i="1"/>
  <c r="AR42" i="1"/>
  <c r="AR43" i="1" s="1"/>
  <c r="AP42" i="1"/>
  <c r="AP43" i="1" s="1"/>
  <c r="AN40" i="1"/>
  <c r="AX40" i="1"/>
  <c r="AT40" i="1"/>
  <c r="AZ38" i="1"/>
  <c r="AI40" i="1"/>
  <c r="AJ40" i="1"/>
  <c r="AE40" i="1"/>
  <c r="AG40" i="1"/>
  <c r="BA40" i="1"/>
  <c r="BA59" i="1" s="1"/>
  <c r="AF42" i="1"/>
  <c r="AF43" i="1" s="1"/>
  <c r="AH40" i="1"/>
  <c r="AL40" i="1"/>
  <c r="J40" i="1"/>
  <c r="J58" i="1"/>
  <c r="G59" i="1"/>
  <c r="G42" i="1"/>
  <c r="H40" i="1"/>
  <c r="H58" i="1"/>
  <c r="I59" i="1"/>
  <c r="I42" i="1"/>
  <c r="BH29" i="1" l="1"/>
  <c r="BH52" i="1" s="1"/>
  <c r="BG32" i="1"/>
  <c r="BG56" i="1" s="1"/>
  <c r="BC53" i="1"/>
  <c r="BC38" i="1"/>
  <c r="BC55" i="1"/>
  <c r="BG26" i="1"/>
  <c r="BF50" i="1"/>
  <c r="BD34" i="1"/>
  <c r="BD55" i="1" s="1"/>
  <c r="BD35" i="1"/>
  <c r="BD54" i="1"/>
  <c r="BD46" i="1"/>
  <c r="BE30" i="1"/>
  <c r="BE36" i="1" s="1"/>
  <c r="BE51" i="1"/>
  <c r="BE31" i="1"/>
  <c r="BG20" i="1"/>
  <c r="BF28" i="1"/>
  <c r="BF47" i="1"/>
  <c r="AK42" i="1"/>
  <c r="AK43" i="1" s="1"/>
  <c r="AY42" i="1"/>
  <c r="AY43" i="1" s="1"/>
  <c r="AG42" i="1"/>
  <c r="AG43" i="1" s="1"/>
  <c r="AN42" i="1"/>
  <c r="AN43" i="1" s="1"/>
  <c r="AV42" i="1"/>
  <c r="AV43" i="1" s="1"/>
  <c r="AS42" i="1"/>
  <c r="AS43" i="1" s="1"/>
  <c r="AE42" i="1"/>
  <c r="AE43" i="1" s="1"/>
  <c r="AJ42" i="1"/>
  <c r="AJ43" i="1" s="1"/>
  <c r="AH42" i="1"/>
  <c r="AH43" i="1" s="1"/>
  <c r="AI42" i="1"/>
  <c r="AI43" i="1" s="1"/>
  <c r="AZ40" i="1"/>
  <c r="AU42" i="1"/>
  <c r="AU43" i="1" s="1"/>
  <c r="AQ42" i="1"/>
  <c r="AQ43" i="1" s="1"/>
  <c r="AL42" i="1"/>
  <c r="AL43" i="1" s="1"/>
  <c r="AM42" i="1"/>
  <c r="AM43" i="1" s="1"/>
  <c r="BA42" i="1"/>
  <c r="BA43" i="1" s="1"/>
  <c r="AT42" i="1"/>
  <c r="AT43" i="1" s="1"/>
  <c r="AX42" i="1"/>
  <c r="AX43" i="1" s="1"/>
  <c r="J42" i="1"/>
  <c r="J59" i="1"/>
  <c r="I43" i="1"/>
  <c r="I81" i="1"/>
  <c r="H59" i="1"/>
  <c r="H42" i="1"/>
  <c r="G43" i="1"/>
  <c r="G81" i="1"/>
  <c r="BI29" i="1" l="1"/>
  <c r="BI52" i="1" s="1"/>
  <c r="BH32" i="1"/>
  <c r="BH56" i="1" s="1"/>
  <c r="BD37" i="1"/>
  <c r="BD53" i="1"/>
  <c r="BC40" i="1"/>
  <c r="BC58" i="1"/>
  <c r="BE33" i="1"/>
  <c r="BE34" i="1" s="1"/>
  <c r="BE55" i="1" s="1"/>
  <c r="BE57" i="1"/>
  <c r="BH26" i="1"/>
  <c r="BG50" i="1"/>
  <c r="BD38" i="1"/>
  <c r="BE35" i="1"/>
  <c r="BE54" i="1"/>
  <c r="BF31" i="1"/>
  <c r="BF51" i="1"/>
  <c r="BF30" i="1"/>
  <c r="BF36" i="1" s="1"/>
  <c r="BH20" i="1"/>
  <c r="BG28" i="1"/>
  <c r="BG47" i="1"/>
  <c r="BE46" i="1"/>
  <c r="AZ42" i="1"/>
  <c r="AZ43" i="1" s="1"/>
  <c r="J81" i="1"/>
  <c r="J43" i="1"/>
  <c r="H43" i="1"/>
  <c r="H81" i="1"/>
  <c r="BJ29" i="1" l="1"/>
  <c r="BJ52" i="1" s="1"/>
  <c r="BI32" i="1"/>
  <c r="BI56" i="1" s="1"/>
  <c r="BC41" i="1"/>
  <c r="BC59" i="1" s="1"/>
  <c r="BE37" i="1"/>
  <c r="BE38" i="1" s="1"/>
  <c r="BE53" i="1"/>
  <c r="BD40" i="1"/>
  <c r="BD58" i="1"/>
  <c r="BF33" i="1"/>
  <c r="BF34" i="1" s="1"/>
  <c r="BF55" i="1" s="1"/>
  <c r="BF57" i="1"/>
  <c r="BI26" i="1"/>
  <c r="BH50" i="1"/>
  <c r="BF35" i="1"/>
  <c r="BF54" i="1"/>
  <c r="BI20" i="1"/>
  <c r="BH28" i="1"/>
  <c r="BH47" i="1"/>
  <c r="BF46" i="1"/>
  <c r="BG30" i="1"/>
  <c r="BG36" i="1" s="1"/>
  <c r="BG31" i="1"/>
  <c r="BG51" i="1"/>
  <c r="BK29" i="1" l="1"/>
  <c r="BK52" i="1" s="1"/>
  <c r="BJ32" i="1"/>
  <c r="BJ56" i="1" s="1"/>
  <c r="BC42" i="1"/>
  <c r="BD41" i="1"/>
  <c r="BD59" i="1" s="1"/>
  <c r="BF37" i="1"/>
  <c r="BF38" i="1" s="1"/>
  <c r="BF53" i="1"/>
  <c r="BE40" i="1"/>
  <c r="BE58" i="1"/>
  <c r="BG33" i="1"/>
  <c r="BG34" i="1" s="1"/>
  <c r="BG55" i="1" s="1"/>
  <c r="BG57" i="1"/>
  <c r="BJ26" i="1"/>
  <c r="BI50" i="1"/>
  <c r="BG54" i="1"/>
  <c r="BG35" i="1"/>
  <c r="BG46" i="1"/>
  <c r="BH51" i="1"/>
  <c r="BH30" i="1"/>
  <c r="BH36" i="1" s="1"/>
  <c r="BH31" i="1"/>
  <c r="BJ20" i="1"/>
  <c r="BI47" i="1"/>
  <c r="BI28" i="1"/>
  <c r="BC43" i="1" l="1"/>
  <c r="BL29" i="1"/>
  <c r="BL52" i="1" s="1"/>
  <c r="BK32" i="1"/>
  <c r="BK56" i="1" s="1"/>
  <c r="BE41" i="1"/>
  <c r="BE59" i="1" s="1"/>
  <c r="BD42" i="1"/>
  <c r="BG37" i="1"/>
  <c r="BG38" i="1" s="1"/>
  <c r="BG53" i="1"/>
  <c r="BF40" i="1"/>
  <c r="BF58" i="1"/>
  <c r="BH33" i="1"/>
  <c r="BH34" i="1" s="1"/>
  <c r="BH55" i="1" s="1"/>
  <c r="BH57" i="1"/>
  <c r="BK26" i="1"/>
  <c r="BJ50" i="1"/>
  <c r="BH54" i="1"/>
  <c r="BH35" i="1"/>
  <c r="BK20" i="1"/>
  <c r="BJ28" i="1"/>
  <c r="BJ47" i="1"/>
  <c r="BI31" i="1"/>
  <c r="BI30" i="1"/>
  <c r="BI36" i="1" s="1"/>
  <c r="BI51" i="1"/>
  <c r="BH46" i="1"/>
  <c r="BM29" i="1" l="1"/>
  <c r="BM52" i="1" s="1"/>
  <c r="BL32" i="1"/>
  <c r="BL56" i="1" s="1"/>
  <c r="BE42" i="1"/>
  <c r="BE43" i="1" s="1"/>
  <c r="BF41" i="1"/>
  <c r="BF59" i="1" s="1"/>
  <c r="BD43" i="1"/>
  <c r="BH37" i="1"/>
  <c r="BH38" i="1" s="1"/>
  <c r="BH53" i="1"/>
  <c r="BG40" i="1"/>
  <c r="BG58" i="1"/>
  <c r="BI33" i="1"/>
  <c r="BI34" i="1" s="1"/>
  <c r="BI55" i="1" s="1"/>
  <c r="BI57" i="1"/>
  <c r="BK50" i="1"/>
  <c r="BL26" i="1"/>
  <c r="BI54" i="1"/>
  <c r="BI35" i="1"/>
  <c r="BI46" i="1"/>
  <c r="BJ31" i="1"/>
  <c r="BJ30" i="1"/>
  <c r="BJ36" i="1" s="1"/>
  <c r="BJ51" i="1"/>
  <c r="BL20" i="1"/>
  <c r="BK47" i="1"/>
  <c r="BK28" i="1"/>
  <c r="BF42" i="1" l="1"/>
  <c r="BF43" i="1" s="1"/>
  <c r="BN29" i="1"/>
  <c r="BN52" i="1" s="1"/>
  <c r="BM32" i="1"/>
  <c r="BM56" i="1" s="1"/>
  <c r="BG41" i="1"/>
  <c r="BG59" i="1" s="1"/>
  <c r="BH40" i="1"/>
  <c r="BH58" i="1"/>
  <c r="BI37" i="1"/>
  <c r="BI38" i="1" s="1"/>
  <c r="BI53" i="1"/>
  <c r="BJ33" i="1"/>
  <c r="BJ34" i="1" s="1"/>
  <c r="BJ55" i="1" s="1"/>
  <c r="BJ57" i="1"/>
  <c r="BL50" i="1"/>
  <c r="BM26" i="1"/>
  <c r="BJ54" i="1"/>
  <c r="BJ35" i="1"/>
  <c r="BK31" i="1"/>
  <c r="BK51" i="1"/>
  <c r="BK30" i="1"/>
  <c r="BK36" i="1" s="1"/>
  <c r="BJ46" i="1"/>
  <c r="BM20" i="1"/>
  <c r="BL47" i="1"/>
  <c r="BL28" i="1"/>
  <c r="BO29" i="1" l="1"/>
  <c r="BO52" i="1" s="1"/>
  <c r="BN32" i="1"/>
  <c r="BN56" i="1" s="1"/>
  <c r="BG42" i="1"/>
  <c r="BH41" i="1"/>
  <c r="BH59" i="1" s="1"/>
  <c r="BJ37" i="1"/>
  <c r="BJ38" i="1" s="1"/>
  <c r="BJ53" i="1"/>
  <c r="BI40" i="1"/>
  <c r="BI58" i="1"/>
  <c r="BK33" i="1"/>
  <c r="BK34" i="1" s="1"/>
  <c r="BK55" i="1" s="1"/>
  <c r="BK57" i="1"/>
  <c r="BN26" i="1"/>
  <c r="BM50" i="1"/>
  <c r="BK54" i="1"/>
  <c r="BK35" i="1"/>
  <c r="BL30" i="1"/>
  <c r="BL36" i="1" s="1"/>
  <c r="BL31" i="1"/>
  <c r="BL51" i="1"/>
  <c r="BN20" i="1"/>
  <c r="BM47" i="1"/>
  <c r="BM28" i="1"/>
  <c r="BK46" i="1"/>
  <c r="BG43" i="1" l="1"/>
  <c r="BP29" i="1"/>
  <c r="BP52" i="1" s="1"/>
  <c r="BO32" i="1"/>
  <c r="BO56" i="1" s="1"/>
  <c r="BI41" i="1"/>
  <c r="BI59" i="1" s="1"/>
  <c r="BH42" i="1"/>
  <c r="BK37" i="1"/>
  <c r="BK38" i="1" s="1"/>
  <c r="BK53" i="1"/>
  <c r="BJ40" i="1"/>
  <c r="BJ58" i="1"/>
  <c r="BL33" i="1"/>
  <c r="BL34" i="1" s="1"/>
  <c r="BL55" i="1" s="1"/>
  <c r="BL57" i="1"/>
  <c r="BO26" i="1"/>
  <c r="BN50" i="1"/>
  <c r="BL54" i="1"/>
  <c r="BL35" i="1"/>
  <c r="BM30" i="1"/>
  <c r="BM36" i="1" s="1"/>
  <c r="BM31" i="1"/>
  <c r="BM51" i="1"/>
  <c r="BO20" i="1"/>
  <c r="BN47" i="1"/>
  <c r="BN28" i="1"/>
  <c r="BL46" i="1"/>
  <c r="BQ29" i="1" l="1"/>
  <c r="BQ52" i="1" s="1"/>
  <c r="BP32" i="1"/>
  <c r="BP56" i="1" s="1"/>
  <c r="BJ41" i="1"/>
  <c r="BJ59" i="1" s="1"/>
  <c r="BH43" i="1"/>
  <c r="BI42" i="1"/>
  <c r="BI43" i="1" s="1"/>
  <c r="BL37" i="1"/>
  <c r="BL38" i="1" s="1"/>
  <c r="BL53" i="1"/>
  <c r="BK40" i="1"/>
  <c r="BK58" i="1"/>
  <c r="BM33" i="1"/>
  <c r="BM34" i="1" s="1"/>
  <c r="BM55" i="1" s="1"/>
  <c r="BM57" i="1"/>
  <c r="BP26" i="1"/>
  <c r="BO50" i="1"/>
  <c r="BM54" i="1"/>
  <c r="BM35" i="1"/>
  <c r="BN30" i="1"/>
  <c r="BN36" i="1" s="1"/>
  <c r="BN31" i="1"/>
  <c r="BN51" i="1"/>
  <c r="BP20" i="1"/>
  <c r="BO28" i="1"/>
  <c r="BO47" i="1"/>
  <c r="BM46" i="1"/>
  <c r="BR29" i="1" l="1"/>
  <c r="BR52" i="1" s="1"/>
  <c r="BQ32" i="1"/>
  <c r="BQ56" i="1" s="1"/>
  <c r="BK41" i="1"/>
  <c r="BK59" i="1" s="1"/>
  <c r="BJ42" i="1"/>
  <c r="BM37" i="1"/>
  <c r="BM38" i="1" s="1"/>
  <c r="BM53" i="1"/>
  <c r="BL40" i="1"/>
  <c r="BL58" i="1"/>
  <c r="BN33" i="1"/>
  <c r="BN34" i="1" s="1"/>
  <c r="BN55" i="1" s="1"/>
  <c r="BN57" i="1"/>
  <c r="BP50" i="1"/>
  <c r="BQ26" i="1"/>
  <c r="BN35" i="1"/>
  <c r="BN54" i="1"/>
  <c r="BQ20" i="1"/>
  <c r="BP28" i="1"/>
  <c r="BP47" i="1"/>
  <c r="BO51" i="1"/>
  <c r="BO30" i="1"/>
  <c r="BO36" i="1" s="1"/>
  <c r="BO31" i="1"/>
  <c r="BN46" i="1"/>
  <c r="BS29" i="1" l="1"/>
  <c r="BR32" i="1"/>
  <c r="BR56" i="1" s="1"/>
  <c r="BL41" i="1"/>
  <c r="BL59" i="1" s="1"/>
  <c r="BJ43" i="1"/>
  <c r="BK42" i="1"/>
  <c r="BK43" i="1" s="1"/>
  <c r="BN37" i="1"/>
  <c r="BN38" i="1" s="1"/>
  <c r="BN53" i="1"/>
  <c r="BM40" i="1"/>
  <c r="BM58" i="1"/>
  <c r="BO33" i="1"/>
  <c r="BO34" i="1" s="1"/>
  <c r="BO55" i="1" s="1"/>
  <c r="BO57" i="1"/>
  <c r="BR26" i="1"/>
  <c r="BQ50" i="1"/>
  <c r="BO54" i="1"/>
  <c r="BO35" i="1"/>
  <c r="BS52" i="1"/>
  <c r="BO46" i="1"/>
  <c r="BP51" i="1"/>
  <c r="BP30" i="1"/>
  <c r="BP36" i="1" s="1"/>
  <c r="BP31" i="1"/>
  <c r="BR20" i="1"/>
  <c r="BQ28" i="1"/>
  <c r="BQ47" i="1"/>
  <c r="BS32" i="1" l="1"/>
  <c r="BS56" i="1" s="1"/>
  <c r="BL42" i="1"/>
  <c r="BL43" i="1" s="1"/>
  <c r="BM41" i="1"/>
  <c r="BM59" i="1" s="1"/>
  <c r="BO37" i="1"/>
  <c r="BO38" i="1" s="1"/>
  <c r="BO53" i="1"/>
  <c r="BN40" i="1"/>
  <c r="BN58" i="1"/>
  <c r="BP33" i="1"/>
  <c r="BP34" i="1" s="1"/>
  <c r="BP57" i="1"/>
  <c r="BS26" i="1"/>
  <c r="BS50" i="1" s="1"/>
  <c r="BR50" i="1"/>
  <c r="BP35" i="1"/>
  <c r="BP54" i="1"/>
  <c r="BS20" i="1"/>
  <c r="BR28" i="1"/>
  <c r="BR47" i="1"/>
  <c r="BQ51" i="1"/>
  <c r="BQ30" i="1"/>
  <c r="BQ36" i="1" s="1"/>
  <c r="BQ31" i="1"/>
  <c r="BP46" i="1"/>
  <c r="BM42" i="1" l="1"/>
  <c r="BM43" i="1" s="1"/>
  <c r="BN41" i="1"/>
  <c r="BN59" i="1" s="1"/>
  <c r="BO40" i="1"/>
  <c r="BO58" i="1"/>
  <c r="BP37" i="1"/>
  <c r="BP38" i="1" s="1"/>
  <c r="BP53" i="1"/>
  <c r="BQ33" i="1"/>
  <c r="BQ34" i="1" s="1"/>
  <c r="BQ55" i="1" s="1"/>
  <c r="BQ57" i="1"/>
  <c r="BP55" i="1"/>
  <c r="BQ35" i="1"/>
  <c r="BQ54" i="1"/>
  <c r="BQ46" i="1"/>
  <c r="BR31" i="1"/>
  <c r="BR51" i="1"/>
  <c r="BR30" i="1"/>
  <c r="BR36" i="1" s="1"/>
  <c r="BS28" i="1"/>
  <c r="BS47" i="1"/>
  <c r="BN42" i="1" l="1"/>
  <c r="BN43" i="1" s="1"/>
  <c r="BO41" i="1"/>
  <c r="BO59" i="1" s="1"/>
  <c r="BP40" i="1"/>
  <c r="BP58" i="1"/>
  <c r="BQ37" i="1"/>
  <c r="BQ38" i="1" s="1"/>
  <c r="BQ53" i="1"/>
  <c r="BR33" i="1"/>
  <c r="BR34" i="1" s="1"/>
  <c r="BR57" i="1"/>
  <c r="BR35" i="1"/>
  <c r="BR54" i="1"/>
  <c r="BS51" i="1"/>
  <c r="BS30" i="1"/>
  <c r="BS36" i="1" s="1"/>
  <c r="BS31" i="1"/>
  <c r="BR46" i="1"/>
  <c r="BO42" i="1" l="1"/>
  <c r="BO43" i="1" s="1"/>
  <c r="BP41" i="1"/>
  <c r="BP59" i="1" s="1"/>
  <c r="BQ40" i="1"/>
  <c r="BQ58" i="1"/>
  <c r="BR37" i="1"/>
  <c r="BR53" i="1"/>
  <c r="BS33" i="1"/>
  <c r="BS34" i="1" s="1"/>
  <c r="BS55" i="1" s="1"/>
  <c r="BS57" i="1"/>
  <c r="BR38" i="1"/>
  <c r="BR55" i="1"/>
  <c r="BS54" i="1"/>
  <c r="BS35" i="1"/>
  <c r="BS46" i="1"/>
  <c r="BP42" i="1" l="1"/>
  <c r="BP43" i="1" s="1"/>
  <c r="BQ41" i="1"/>
  <c r="BQ59" i="1" s="1"/>
  <c r="BS37" i="1"/>
  <c r="BS38" i="1" s="1"/>
  <c r="BS53" i="1"/>
  <c r="BR40" i="1"/>
  <c r="BR58" i="1"/>
  <c r="BQ42" i="1" l="1"/>
  <c r="BQ43" i="1" s="1"/>
  <c r="BR41" i="1"/>
  <c r="BR59" i="1" s="1"/>
  <c r="BS40" i="1"/>
  <c r="BS58" i="1"/>
  <c r="BS41" i="1" l="1"/>
  <c r="BS59" i="1" s="1"/>
  <c r="BR42" i="1"/>
  <c r="BR43" i="1" s="1"/>
  <c r="BS42" i="1" l="1"/>
  <c r="BS43" i="1" s="1"/>
  <c r="BT42" i="1" l="1"/>
  <c r="BU42" i="1" s="1"/>
  <c r="BV42" i="1" s="1"/>
  <c r="BW42" i="1" s="1"/>
  <c r="BX42" i="1" s="1"/>
  <c r="BY42" i="1" s="1"/>
  <c r="BZ42" i="1" s="1"/>
  <c r="CA42" i="1" s="1"/>
  <c r="CB42" i="1" s="1"/>
  <c r="CC42" i="1" s="1"/>
  <c r="CD42" i="1" s="1"/>
  <c r="CE42" i="1" s="1"/>
  <c r="CF42" i="1" s="1"/>
  <c r="CG42" i="1" s="1"/>
  <c r="CH42" i="1" s="1"/>
  <c r="CI42" i="1" s="1"/>
  <c r="CJ42" i="1" s="1"/>
  <c r="CK42" i="1" s="1"/>
  <c r="CL42" i="1" s="1"/>
  <c r="CM42" i="1" s="1"/>
  <c r="CN42" i="1" s="1"/>
  <c r="CO42" i="1" s="1"/>
  <c r="CP42" i="1" s="1"/>
  <c r="CQ42" i="1" s="1"/>
  <c r="CR42" i="1" s="1"/>
  <c r="CS42" i="1" s="1"/>
  <c r="CT42" i="1" s="1"/>
  <c r="CU42" i="1" s="1"/>
  <c r="CV42" i="1" s="1"/>
  <c r="CW42" i="1" s="1"/>
  <c r="CX42" i="1" s="1"/>
  <c r="CY42" i="1" s="1"/>
  <c r="CZ42" i="1" s="1"/>
  <c r="DA42" i="1" s="1"/>
  <c r="DB42" i="1" s="1"/>
  <c r="DC42" i="1" s="1"/>
  <c r="DD42" i="1" s="1"/>
  <c r="DE42" i="1" s="1"/>
  <c r="DF42" i="1" s="1"/>
  <c r="DG42" i="1" s="1"/>
  <c r="DH42" i="1" s="1"/>
  <c r="DI42" i="1" s="1"/>
  <c r="DJ42" i="1" s="1"/>
  <c r="DK42" i="1" s="1"/>
  <c r="DL42" i="1" s="1"/>
  <c r="DM42" i="1" s="1"/>
  <c r="DN42" i="1" s="1"/>
  <c r="DO42" i="1" s="1"/>
  <c r="DP42" i="1" s="1"/>
  <c r="DQ42" i="1" s="1"/>
  <c r="DR42" i="1" s="1"/>
  <c r="DS42" i="1" s="1"/>
  <c r="DT42" i="1" s="1"/>
  <c r="DU42" i="1" s="1"/>
  <c r="DV42" i="1" s="1"/>
  <c r="DW42" i="1" s="1"/>
  <c r="DX42" i="1" s="1"/>
  <c r="DY42" i="1" s="1"/>
  <c r="DZ42" i="1" s="1"/>
  <c r="EA42" i="1" s="1"/>
  <c r="EB42" i="1" s="1"/>
  <c r="EC42" i="1" s="1"/>
  <c r="ED42" i="1" s="1"/>
  <c r="EE42" i="1" s="1"/>
  <c r="EF42" i="1" s="1"/>
  <c r="EG42" i="1" s="1"/>
  <c r="EH42" i="1" s="1"/>
  <c r="EI42" i="1" s="1"/>
  <c r="EJ42" i="1" s="1"/>
  <c r="EK42" i="1" s="1"/>
  <c r="EL42" i="1" s="1"/>
  <c r="EM42" i="1" s="1"/>
  <c r="EN42" i="1" s="1"/>
  <c r="EO42" i="1" s="1"/>
  <c r="EP42" i="1" s="1"/>
  <c r="EQ42" i="1" s="1"/>
  <c r="ER42" i="1" s="1"/>
  <c r="ES42" i="1" s="1"/>
  <c r="ET42" i="1" s="1"/>
  <c r="EU42" i="1" s="1"/>
  <c r="EV42" i="1" s="1"/>
  <c r="EW42" i="1" s="1"/>
  <c r="EX42" i="1" s="1"/>
  <c r="EY42" i="1" s="1"/>
  <c r="EZ42" i="1" s="1"/>
  <c r="FA42" i="1" s="1"/>
  <c r="FB42" i="1" s="1"/>
  <c r="FC42" i="1" s="1"/>
  <c r="FD42" i="1" s="1"/>
  <c r="FE42" i="1" s="1"/>
  <c r="FF42" i="1" s="1"/>
  <c r="N18" i="1" l="1"/>
  <c r="N17" i="1"/>
  <c r="N16" i="1"/>
  <c r="N15" i="1"/>
  <c r="N14" i="1"/>
  <c r="R18" i="1"/>
  <c r="R17" i="1"/>
  <c r="R16" i="1"/>
  <c r="R15" i="1"/>
  <c r="R14" i="1"/>
  <c r="W76" i="1"/>
  <c r="W79" i="1" s="1"/>
  <c r="W64" i="1"/>
  <c r="V64" i="1"/>
  <c r="V18" i="1"/>
  <c r="V17" i="1"/>
  <c r="V16" i="1"/>
  <c r="V15" i="1"/>
  <c r="V14" i="1"/>
  <c r="X98" i="1"/>
  <c r="W97" i="1"/>
  <c r="X96" i="1"/>
  <c r="X95" i="1"/>
  <c r="X94" i="1"/>
  <c r="X91" i="1"/>
  <c r="X90" i="1"/>
  <c r="X85" i="1"/>
  <c r="X83" i="1"/>
  <c r="X82" i="1"/>
  <c r="X76" i="1"/>
  <c r="X79" i="1" s="1"/>
  <c r="W57" i="1"/>
  <c r="W56" i="1"/>
  <c r="V56" i="1"/>
  <c r="U56" i="1"/>
  <c r="T56" i="1"/>
  <c r="S56" i="1"/>
  <c r="R56" i="1"/>
  <c r="Q56" i="1"/>
  <c r="P56" i="1"/>
  <c r="O56" i="1"/>
  <c r="N56" i="1"/>
  <c r="M56" i="1"/>
  <c r="L56" i="1"/>
  <c r="X52" i="1"/>
  <c r="W52" i="1"/>
  <c r="V52" i="1"/>
  <c r="U52" i="1"/>
  <c r="T52" i="1"/>
  <c r="S52" i="1"/>
  <c r="R52" i="1"/>
  <c r="Q52" i="1"/>
  <c r="P52" i="1"/>
  <c r="W47" i="1"/>
  <c r="V47" i="1"/>
  <c r="U47" i="1"/>
  <c r="T47" i="1"/>
  <c r="S47" i="1"/>
  <c r="R47" i="1"/>
  <c r="Q47" i="1"/>
  <c r="P47" i="1"/>
  <c r="F44" i="1"/>
  <c r="D44" i="1"/>
  <c r="C44" i="1"/>
  <c r="F41" i="1"/>
  <c r="F39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E37" i="1"/>
  <c r="D37" i="1"/>
  <c r="C37" i="1"/>
  <c r="F36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F33" i="1"/>
  <c r="W30" i="1"/>
  <c r="K30" i="1"/>
  <c r="F29" i="1"/>
  <c r="V28" i="1"/>
  <c r="U28" i="1"/>
  <c r="T28" i="1"/>
  <c r="T30" i="1" s="1"/>
  <c r="S28" i="1"/>
  <c r="S30" i="1" s="1"/>
  <c r="R28" i="1"/>
  <c r="Q28" i="1"/>
  <c r="P28" i="1"/>
  <c r="O28" i="1"/>
  <c r="N28" i="1"/>
  <c r="M28" i="1"/>
  <c r="L28" i="1"/>
  <c r="L30" i="1" s="1"/>
  <c r="L46" i="1" s="1"/>
  <c r="E28" i="1"/>
  <c r="D28" i="1"/>
  <c r="C28" i="1"/>
  <c r="F26" i="1"/>
  <c r="F25" i="1"/>
  <c r="F24" i="1"/>
  <c r="T22" i="1"/>
  <c r="S22" i="1"/>
  <c r="R22" i="1"/>
  <c r="Q22" i="1"/>
  <c r="U22" i="1" s="1"/>
  <c r="P22" i="1"/>
  <c r="O22" i="1"/>
  <c r="N22" i="1"/>
  <c r="M22" i="1"/>
  <c r="L22" i="1"/>
  <c r="K22" i="1"/>
  <c r="E22" i="1"/>
  <c r="D22" i="1"/>
  <c r="C22" i="1"/>
  <c r="F20" i="1"/>
  <c r="AW20" i="1" s="1"/>
  <c r="Y2" i="1"/>
  <c r="Z2" i="1" s="1"/>
  <c r="J2" i="1"/>
  <c r="I2" i="1" s="1"/>
  <c r="H2" i="1" s="1"/>
  <c r="G2" i="1" s="1"/>
  <c r="F2" i="1" s="1"/>
  <c r="BA21" i="1" l="1"/>
  <c r="BA22" i="1" s="1"/>
  <c r="X63" i="1"/>
  <c r="J49" i="1"/>
  <c r="AW25" i="1"/>
  <c r="Z29" i="1"/>
  <c r="J48" i="1"/>
  <c r="AW24" i="1"/>
  <c r="J50" i="1"/>
  <c r="AW26" i="1"/>
  <c r="J52" i="1"/>
  <c r="AW29" i="1"/>
  <c r="AX47" i="1"/>
  <c r="AW47" i="1"/>
  <c r="AW21" i="1"/>
  <c r="AW22" i="1" s="1"/>
  <c r="AV21" i="1"/>
  <c r="AV22" i="1" s="1"/>
  <c r="F37" i="1"/>
  <c r="V51" i="1"/>
  <c r="N57" i="1"/>
  <c r="N51" i="1"/>
  <c r="V57" i="1"/>
  <c r="P57" i="1"/>
  <c r="P51" i="1"/>
  <c r="V30" i="1"/>
  <c r="V34" i="1" s="1"/>
  <c r="O57" i="1"/>
  <c r="O51" i="1"/>
  <c r="Q57" i="1"/>
  <c r="Q51" i="1"/>
  <c r="W46" i="1"/>
  <c r="X34" i="1"/>
  <c r="X38" i="1" s="1"/>
  <c r="X40" i="1" s="1"/>
  <c r="R57" i="1"/>
  <c r="R51" i="1"/>
  <c r="S57" i="1"/>
  <c r="W51" i="1"/>
  <c r="S51" i="1"/>
  <c r="X87" i="1"/>
  <c r="T57" i="1"/>
  <c r="T51" i="1"/>
  <c r="X51" i="1"/>
  <c r="C30" i="1"/>
  <c r="C34" i="1" s="1"/>
  <c r="G51" i="1"/>
  <c r="U57" i="1"/>
  <c r="U51" i="1"/>
  <c r="M57" i="1"/>
  <c r="M51" i="1"/>
  <c r="E57" i="1"/>
  <c r="I51" i="1"/>
  <c r="D57" i="1"/>
  <c r="H51" i="1"/>
  <c r="L57" i="1"/>
  <c r="L51" i="1"/>
  <c r="X97" i="1"/>
  <c r="X99" i="1" s="1"/>
  <c r="W99" i="1"/>
  <c r="U30" i="1"/>
  <c r="U34" i="1" s="1"/>
  <c r="L34" i="1"/>
  <c r="D30" i="1"/>
  <c r="W34" i="1"/>
  <c r="W38" i="1" s="1"/>
  <c r="W40" i="1" s="1"/>
  <c r="X92" i="1"/>
  <c r="O30" i="1"/>
  <c r="O46" i="1" s="1"/>
  <c r="E30" i="1"/>
  <c r="V71" i="1"/>
  <c r="V63" i="1"/>
  <c r="K34" i="1"/>
  <c r="K46" i="1"/>
  <c r="W71" i="1"/>
  <c r="W63" i="1"/>
  <c r="F28" i="1"/>
  <c r="J51" i="1" s="1"/>
  <c r="F22" i="1"/>
  <c r="J47" i="1"/>
  <c r="X46" i="1"/>
  <c r="M30" i="1"/>
  <c r="N30" i="1"/>
  <c r="W87" i="1"/>
  <c r="P30" i="1"/>
  <c r="T46" i="1" s="1"/>
  <c r="S34" i="1"/>
  <c r="Q30" i="1"/>
  <c r="T34" i="1"/>
  <c r="R30" i="1"/>
  <c r="AW28" i="1" l="1"/>
  <c r="Z30" i="1"/>
  <c r="AW30" i="1"/>
  <c r="W58" i="1"/>
  <c r="X101" i="1"/>
  <c r="U46" i="1"/>
  <c r="X42" i="1"/>
  <c r="X55" i="1"/>
  <c r="G46" i="1"/>
  <c r="E34" i="1"/>
  <c r="I46" i="1"/>
  <c r="D34" i="1"/>
  <c r="H46" i="1"/>
  <c r="L38" i="1"/>
  <c r="L55" i="1"/>
  <c r="N34" i="1"/>
  <c r="N38" i="1" s="1"/>
  <c r="N46" i="1"/>
  <c r="W101" i="1"/>
  <c r="M34" i="1"/>
  <c r="M38" i="1" s="1"/>
  <c r="M46" i="1"/>
  <c r="K38" i="1"/>
  <c r="K55" i="1"/>
  <c r="W55" i="1"/>
  <c r="F30" i="1"/>
  <c r="J46" i="1" s="1"/>
  <c r="C38" i="1"/>
  <c r="C55" i="1"/>
  <c r="O34" i="1"/>
  <c r="S46" i="1"/>
  <c r="U55" i="1"/>
  <c r="U38" i="1"/>
  <c r="W59" i="1"/>
  <c r="W42" i="1"/>
  <c r="W81" i="1" s="1"/>
  <c r="R46" i="1"/>
  <c r="R34" i="1"/>
  <c r="T55" i="1"/>
  <c r="T38" i="1"/>
  <c r="Q46" i="1"/>
  <c r="Q34" i="1"/>
  <c r="V55" i="1"/>
  <c r="V38" i="1"/>
  <c r="S38" i="1"/>
  <c r="S55" i="1"/>
  <c r="P34" i="1"/>
  <c r="P46" i="1"/>
  <c r="V46" i="1"/>
  <c r="AX46" i="1" l="1"/>
  <c r="AW46" i="1"/>
  <c r="Y55" i="1"/>
  <c r="AW34" i="1"/>
  <c r="Y59" i="1"/>
  <c r="X81" i="1"/>
  <c r="X43" i="1"/>
  <c r="Z59" i="1"/>
  <c r="N55" i="1"/>
  <c r="M55" i="1"/>
  <c r="L40" i="1"/>
  <c r="L58" i="1"/>
  <c r="D38" i="1"/>
  <c r="D55" i="1"/>
  <c r="K40" i="1"/>
  <c r="K58" i="1"/>
  <c r="E55" i="1"/>
  <c r="E38" i="1"/>
  <c r="C40" i="1"/>
  <c r="C58" i="1"/>
  <c r="F34" i="1"/>
  <c r="F38" i="1" s="1"/>
  <c r="W43" i="1"/>
  <c r="S40" i="1"/>
  <c r="S58" i="1"/>
  <c r="U58" i="1"/>
  <c r="U40" i="1"/>
  <c r="N58" i="1"/>
  <c r="N40" i="1"/>
  <c r="O38" i="1"/>
  <c r="O55" i="1"/>
  <c r="V40" i="1"/>
  <c r="V58" i="1"/>
  <c r="Q38" i="1"/>
  <c r="Q55" i="1"/>
  <c r="R38" i="1"/>
  <c r="R55" i="1"/>
  <c r="P55" i="1"/>
  <c r="P38" i="1"/>
  <c r="T40" i="1"/>
  <c r="T58" i="1"/>
  <c r="M58" i="1"/>
  <c r="M40" i="1"/>
  <c r="AW38" i="1" l="1"/>
  <c r="Z55" i="1"/>
  <c r="E58" i="1"/>
  <c r="E40" i="1"/>
  <c r="D40" i="1"/>
  <c r="D58" i="1"/>
  <c r="K59" i="1"/>
  <c r="K42" i="1"/>
  <c r="L59" i="1"/>
  <c r="L42" i="1"/>
  <c r="F55" i="1"/>
  <c r="C42" i="1"/>
  <c r="C59" i="1"/>
  <c r="U59" i="1"/>
  <c r="U42" i="1"/>
  <c r="T59" i="1"/>
  <c r="T42" i="1"/>
  <c r="O58" i="1"/>
  <c r="O40" i="1"/>
  <c r="Q58" i="1"/>
  <c r="Q40" i="1"/>
  <c r="S59" i="1"/>
  <c r="S42" i="1"/>
  <c r="N59" i="1"/>
  <c r="N42" i="1"/>
  <c r="M42" i="1"/>
  <c r="M59" i="1"/>
  <c r="V59" i="1"/>
  <c r="V42" i="1"/>
  <c r="P40" i="1"/>
  <c r="P58" i="1"/>
  <c r="R40" i="1"/>
  <c r="R58" i="1"/>
  <c r="AW40" i="1" l="1"/>
  <c r="M43" i="1"/>
  <c r="M81" i="1"/>
  <c r="L43" i="1"/>
  <c r="L81" i="1"/>
  <c r="N43" i="1"/>
  <c r="N81" i="1"/>
  <c r="S43" i="1"/>
  <c r="S81" i="1"/>
  <c r="K43" i="1"/>
  <c r="K81" i="1"/>
  <c r="V43" i="1"/>
  <c r="V81" i="1"/>
  <c r="T43" i="1"/>
  <c r="T81" i="1"/>
  <c r="D42" i="1"/>
  <c r="D59" i="1"/>
  <c r="C43" i="1"/>
  <c r="C81" i="1"/>
  <c r="E59" i="1"/>
  <c r="E42" i="1"/>
  <c r="U43" i="1"/>
  <c r="U81" i="1"/>
  <c r="F40" i="1"/>
  <c r="F58" i="1"/>
  <c r="Q42" i="1"/>
  <c r="Q59" i="1"/>
  <c r="R59" i="1"/>
  <c r="R42" i="1"/>
  <c r="O42" i="1"/>
  <c r="O59" i="1"/>
  <c r="P42" i="1"/>
  <c r="P59" i="1"/>
  <c r="AW42" i="1" l="1"/>
  <c r="AW43" i="1" s="1"/>
  <c r="E43" i="1"/>
  <c r="E81" i="1"/>
  <c r="P43" i="1"/>
  <c r="P81" i="1"/>
  <c r="O43" i="1"/>
  <c r="O81" i="1"/>
  <c r="D43" i="1"/>
  <c r="D81" i="1"/>
  <c r="R43" i="1"/>
  <c r="R81" i="1"/>
  <c r="Q43" i="1"/>
  <c r="Q81" i="1"/>
  <c r="F59" i="1"/>
  <c r="F42" i="1"/>
  <c r="F43" i="1" l="1"/>
  <c r="F81" i="1"/>
  <c r="Z37" i="1" l="1"/>
  <c r="Z38" i="1" s="1"/>
  <c r="Y37" i="1"/>
  <c r="Y38" i="1" l="1"/>
  <c r="BB37" i="1"/>
  <c r="Z40" i="1"/>
  <c r="Z58" i="1"/>
  <c r="Y54" i="1"/>
  <c r="Z54" i="1" s="1"/>
  <c r="Z41" i="1" l="1"/>
  <c r="Z42" i="1" s="1"/>
  <c r="Z43" i="1" s="1"/>
  <c r="Y40" i="1"/>
  <c r="Y58" i="1"/>
  <c r="BB38" i="1"/>
  <c r="BB58" i="1" s="1"/>
  <c r="Y41" i="1" l="1"/>
  <c r="BB41" i="1" s="1"/>
  <c r="BB40" i="1"/>
  <c r="Y42" i="1"/>
  <c r="Y43" i="1" l="1"/>
  <c r="BB43" i="1" s="1"/>
  <c r="BB42" i="1"/>
  <c r="BZ24" i="1" s="1"/>
  <c r="BB59" i="1"/>
  <c r="D71" i="2" l="1"/>
  <c r="BZ26" i="1"/>
  <c r="BZ27" i="1" l="1"/>
  <c r="D73" i="2"/>
  <c r="BZ28" i="1" l="1"/>
  <c r="D75" i="2" s="1"/>
  <c r="D7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tc={5C085A6D-9EC1-44D4-9737-5A4821A6992A}</author>
    <author>tc={801287BC-2389-4FFA-A969-16FD0BDFB3A5}</author>
    <author>tc={C7C13230-C9FE-43D5-82BC-4C5006E4353D}</author>
    <author>Adrian Wilburn</author>
  </authors>
  <commentList>
    <comment ref="O20" authorId="0" shapeId="0" xr:uid="{5C085A6D-9EC1-44D4-9737-5A4821A6992A}">
      <text>
        <t>[Threaded comment]
Your version of Excel allows you to read this threaded comment; however, any edits to it will get removed if the file is opened in a newer version of Excel. Learn more: https://go.microsoft.com/fwlink/?linkid=870924
Comment:
    Iphone 12 Launch</t>
      </text>
    </comment>
    <comment ref="R20" authorId="1" shapeId="0" xr:uid="{801287BC-2389-4FFA-A969-16FD0BDFB3A5}">
      <text>
        <t>[Threaded comment]
Your version of Excel allows you to read this threaded comment; however, any edits to it will get removed if the file is opened in a newer version of Excel. Learn more: https://go.microsoft.com/fwlink/?linkid=870924
Comment:
    Iphone 13 launch</t>
      </text>
    </comment>
    <comment ref="G21" authorId="2" shapeId="0" xr:uid="{C7C13230-C9FE-43D5-82BC-4C5006E4353D}">
      <text>
        <t>[Threaded comment]
Your version of Excel allows you to read this threaded comment; however, any edits to it will get removed if the file is opened in a newer version of Excel. Learn more: https://go.microsoft.com/fwlink/?linkid=870924
Comment:
    Statista</t>
      </text>
    </comment>
    <comment ref="X64" authorId="3" shapeId="0" xr:uid="{712B98E7-16DA-468B-AA9F-F67D226AB6D5}">
      <text>
        <r>
          <rPr>
            <b/>
            <sz val="9"/>
            <color indexed="81"/>
            <rFont val="Tahoma"/>
            <charset val="1"/>
          </rPr>
          <t>Adrian Wilburn:</t>
        </r>
        <r>
          <rPr>
            <sz val="9"/>
            <color indexed="81"/>
            <rFont val="Tahoma"/>
            <charset val="1"/>
          </rPr>
          <t xml:space="preserve">
Cash + Current Marketable Securities + noncurrent Marketable securities </t>
        </r>
      </text>
    </comment>
    <comment ref="W86" authorId="3" shapeId="0" xr:uid="{00EE597D-0E45-457B-8A05-0C53494D7EC7}">
      <text>
        <r>
          <rPr>
            <b/>
            <sz val="9"/>
            <color indexed="81"/>
            <rFont val="Tahoma"/>
            <family val="2"/>
          </rPr>
          <t>Adrian Wilburn:</t>
        </r>
        <r>
          <rPr>
            <sz val="9"/>
            <color indexed="81"/>
            <rFont val="Tahoma"/>
            <family val="2"/>
          </rPr>
          <t xml:space="preserve">
Cash flow statement
AR + Inventories+ Vendor non trade+OCA + AP + DR + OCL</t>
        </r>
      </text>
    </comment>
    <comment ref="X89" authorId="3" shapeId="0" xr:uid="{181BE93E-F26E-4ACD-B62E-2C22F2703DC0}">
      <text>
        <r>
          <rPr>
            <b/>
            <sz val="9"/>
            <color indexed="81"/>
            <rFont val="Tahoma"/>
            <family val="2"/>
          </rPr>
          <t>Adrian Wilburn:</t>
        </r>
        <r>
          <rPr>
            <sz val="9"/>
            <color indexed="81"/>
            <rFont val="Tahoma"/>
            <family val="2"/>
          </rPr>
          <t xml:space="preserve">
Purchase of Marketable Securities + Proceeds from Maturity + Proceeds From Sales. Cash flows</t>
        </r>
      </text>
    </comment>
    <comment ref="W94" authorId="3" shapeId="0" xr:uid="{ED2C8F3A-079F-40DC-9F1C-E3942831D589}">
      <text>
        <r>
          <rPr>
            <b/>
            <sz val="9"/>
            <color indexed="81"/>
            <rFont val="Tahoma"/>
            <family val="2"/>
          </rPr>
          <t>Adrian Wilburn:</t>
        </r>
        <r>
          <rPr>
            <sz val="9"/>
            <color indexed="81"/>
            <rFont val="Tahoma"/>
            <family val="2"/>
          </rPr>
          <t xml:space="preserve">
Payments related to taxes Cashflow
</t>
        </r>
      </text>
    </comment>
    <comment ref="W97" authorId="3" shapeId="0" xr:uid="{B8996CBB-A477-4B2F-9A00-490F500ACB1B}">
      <text>
        <r>
          <rPr>
            <b/>
            <sz val="9"/>
            <color indexed="81"/>
            <rFont val="Tahoma"/>
            <family val="2"/>
          </rPr>
          <t>Adrian Wilburn:</t>
        </r>
        <r>
          <rPr>
            <sz val="9"/>
            <color indexed="81"/>
            <rFont val="Tahoma"/>
            <family val="2"/>
          </rPr>
          <t xml:space="preserve">
Repayments of term debt + repayment of commercial paper</t>
        </r>
      </text>
    </comment>
  </commentList>
</comments>
</file>

<file path=xl/sharedStrings.xml><?xml version="1.0" encoding="utf-8"?>
<sst xmlns="http://schemas.openxmlformats.org/spreadsheetml/2006/main" count="258" uniqueCount="193">
  <si>
    <t>FQ118</t>
  </si>
  <si>
    <t>FQ218</t>
  </si>
  <si>
    <t>FQ318</t>
  </si>
  <si>
    <t>FQ418</t>
  </si>
  <si>
    <t>FQ119</t>
  </si>
  <si>
    <t>FQ219</t>
  </si>
  <si>
    <t>FQ319</t>
  </si>
  <si>
    <t>FQ419</t>
  </si>
  <si>
    <t>FQ120</t>
  </si>
  <si>
    <t>FQ220</t>
  </si>
  <si>
    <t>FQ320</t>
  </si>
  <si>
    <t>FQ420</t>
  </si>
  <si>
    <t>FQ121</t>
  </si>
  <si>
    <t>FQ221</t>
  </si>
  <si>
    <t>FQ321</t>
  </si>
  <si>
    <t>FQ421</t>
  </si>
  <si>
    <t>FQ122</t>
  </si>
  <si>
    <t>FQ222</t>
  </si>
  <si>
    <t>FQ322</t>
  </si>
  <si>
    <t>FQ422</t>
  </si>
  <si>
    <t>FQ123</t>
  </si>
  <si>
    <t>FQ223</t>
  </si>
  <si>
    <t>FQ323</t>
  </si>
  <si>
    <t>FQ423</t>
  </si>
  <si>
    <t xml:space="preserve">Fundamental Analysis of Apple </t>
  </si>
  <si>
    <t>x</t>
  </si>
  <si>
    <t>CEO</t>
  </si>
  <si>
    <t>CFO</t>
  </si>
  <si>
    <t>COO</t>
  </si>
  <si>
    <t>Founded</t>
  </si>
  <si>
    <t>IPO</t>
  </si>
  <si>
    <t>Location</t>
  </si>
  <si>
    <t>Phone</t>
  </si>
  <si>
    <t>Model Summary</t>
  </si>
  <si>
    <t>Tim Cook</t>
  </si>
  <si>
    <t>Jeff Williams</t>
  </si>
  <si>
    <t>Luca Maestri</t>
  </si>
  <si>
    <t>Cupertino California 1 Apple Park Way, Cupertino, CA 95014</t>
  </si>
  <si>
    <t>Americas</t>
  </si>
  <si>
    <t>Europe</t>
  </si>
  <si>
    <t>China</t>
  </si>
  <si>
    <t>Japan</t>
  </si>
  <si>
    <t>APAC</t>
  </si>
  <si>
    <t>iPhone</t>
  </si>
  <si>
    <t xml:space="preserve">  Units</t>
  </si>
  <si>
    <t xml:space="preserve">  ASP</t>
  </si>
  <si>
    <t>Mac</t>
  </si>
  <si>
    <t>iPad</t>
  </si>
  <si>
    <t>Products</t>
  </si>
  <si>
    <t>Services</t>
  </si>
  <si>
    <t>Revenue</t>
  </si>
  <si>
    <t>COP</t>
  </si>
  <si>
    <t>COS</t>
  </si>
  <si>
    <t>COGS</t>
  </si>
  <si>
    <t>Gross Profit</t>
  </si>
  <si>
    <t>R&amp;D</t>
  </si>
  <si>
    <t>SG&amp;A</t>
  </si>
  <si>
    <t>OpEx</t>
  </si>
  <si>
    <t>OpInc</t>
  </si>
  <si>
    <t>Interest</t>
  </si>
  <si>
    <t>Pretax Income</t>
  </si>
  <si>
    <t>Taxes</t>
  </si>
  <si>
    <t>Net Income</t>
  </si>
  <si>
    <t>EPS</t>
  </si>
  <si>
    <t>Shares</t>
  </si>
  <si>
    <t>Revenue y/y</t>
  </si>
  <si>
    <t>iPhone y/y</t>
  </si>
  <si>
    <t>Services y/y</t>
  </si>
  <si>
    <t>Gross Margin</t>
  </si>
  <si>
    <t>Services Margin</t>
  </si>
  <si>
    <t>Products Margin</t>
  </si>
  <si>
    <t>Operating Margin</t>
  </si>
  <si>
    <t>Tax Rate</t>
  </si>
  <si>
    <t>Employees</t>
  </si>
  <si>
    <t>Net Cash</t>
  </si>
  <si>
    <t>Cash</t>
  </si>
  <si>
    <t>AR</t>
  </si>
  <si>
    <t>Inventories</t>
  </si>
  <si>
    <t>VTR</t>
  </si>
  <si>
    <t>OCA</t>
  </si>
  <si>
    <t>PP&amp;E</t>
  </si>
  <si>
    <t>ONCA</t>
  </si>
  <si>
    <t>Assets</t>
  </si>
  <si>
    <t>AP</t>
  </si>
  <si>
    <t>OCL</t>
  </si>
  <si>
    <t>DR</t>
  </si>
  <si>
    <t>Debt</t>
  </si>
  <si>
    <t>ONCL</t>
  </si>
  <si>
    <t>SE</t>
  </si>
  <si>
    <t>L+SE</t>
  </si>
  <si>
    <t>Model NI</t>
  </si>
  <si>
    <t>Reported NI</t>
  </si>
  <si>
    <t>D&amp;A</t>
  </si>
  <si>
    <t>SBC</t>
  </si>
  <si>
    <t>Other</t>
  </si>
  <si>
    <t>WC</t>
  </si>
  <si>
    <t>CFFO</t>
  </si>
  <si>
    <t>Securities</t>
  </si>
  <si>
    <t>CapEx</t>
  </si>
  <si>
    <t>CFFI</t>
  </si>
  <si>
    <t>ESOP Tax</t>
  </si>
  <si>
    <t>Dividends</t>
  </si>
  <si>
    <t>Buybacks</t>
  </si>
  <si>
    <t>CFFF</t>
  </si>
  <si>
    <t>CIC</t>
  </si>
  <si>
    <t>Wearables and Home</t>
  </si>
  <si>
    <t>Products y/y</t>
  </si>
  <si>
    <t>Mac y/y</t>
  </si>
  <si>
    <t>Ipad y/y</t>
  </si>
  <si>
    <t>Wearables and Home y/y</t>
  </si>
  <si>
    <t>F1998</t>
  </si>
  <si>
    <t>F1999</t>
  </si>
  <si>
    <t>F2000</t>
  </si>
  <si>
    <t>F2001</t>
  </si>
  <si>
    <t>F2002</t>
  </si>
  <si>
    <t>F2003</t>
  </si>
  <si>
    <t>F2004</t>
  </si>
  <si>
    <t>F2005</t>
  </si>
  <si>
    <t>F2006</t>
  </si>
  <si>
    <t>F2007</t>
  </si>
  <si>
    <t>F2008</t>
  </si>
  <si>
    <t>F2009</t>
  </si>
  <si>
    <t>F2010</t>
  </si>
  <si>
    <t>F2011</t>
  </si>
  <si>
    <t>F2012</t>
  </si>
  <si>
    <t>F2013</t>
  </si>
  <si>
    <t>F2014</t>
  </si>
  <si>
    <t>F2015</t>
  </si>
  <si>
    <t>F2016</t>
  </si>
  <si>
    <t>F2017</t>
  </si>
  <si>
    <t>F2018</t>
  </si>
  <si>
    <t>F2019</t>
  </si>
  <si>
    <t>F2020</t>
  </si>
  <si>
    <t>F2021</t>
  </si>
  <si>
    <t>F2022</t>
  </si>
  <si>
    <t>F2023</t>
  </si>
  <si>
    <t>F2024</t>
  </si>
  <si>
    <t>F2025</t>
  </si>
  <si>
    <t>F2026</t>
  </si>
  <si>
    <t>F2027</t>
  </si>
  <si>
    <t>F2028</t>
  </si>
  <si>
    <t>F2029</t>
  </si>
  <si>
    <t>F2030</t>
  </si>
  <si>
    <t>F2031</t>
  </si>
  <si>
    <t>F2032</t>
  </si>
  <si>
    <t>F2033</t>
  </si>
  <si>
    <t>F2034</t>
  </si>
  <si>
    <t>F2035</t>
  </si>
  <si>
    <t>F2036</t>
  </si>
  <si>
    <t>F2037</t>
  </si>
  <si>
    <t>F2038</t>
  </si>
  <si>
    <t>F2039</t>
  </si>
  <si>
    <t>F2040</t>
  </si>
  <si>
    <t>Product % of Sales</t>
  </si>
  <si>
    <t>1. Apple successfully moves from maximizing hardware shipments to maximizing installed user base monetization</t>
  </si>
  <si>
    <t xml:space="preserve">2. Iphone continues to see resilient demand and trends toward their higher end models </t>
  </si>
  <si>
    <t xml:space="preserve">3. Long term investments in AR, payments, health, autos, and Home pays off and builds monetizable ecosystem. Apple Vision Pro does well </t>
  </si>
  <si>
    <t>Business Segments and Revenue</t>
  </si>
  <si>
    <t xml:space="preserve">Products </t>
  </si>
  <si>
    <t>1. Shortages within the Chinese supply chain continue and remain material, impacting margins</t>
  </si>
  <si>
    <t>2. Consumer demand weakens with a weaker macro enviornment an Iphone and other product sales decline</t>
  </si>
  <si>
    <t>3. More competition within China and India and increased regulation surrounding Apple ecosystem, specifically App Store</t>
  </si>
  <si>
    <t xml:space="preserve">4. Apple Vision Pro does not live up to expectations. </t>
  </si>
  <si>
    <t>Iphone</t>
  </si>
  <si>
    <t>Ipad</t>
  </si>
  <si>
    <t xml:space="preserve">Wearables and Home </t>
  </si>
  <si>
    <t>Apple Care</t>
  </si>
  <si>
    <t>Wearables and Home Growth</t>
  </si>
  <si>
    <t>Mac Growth</t>
  </si>
  <si>
    <t>Base</t>
  </si>
  <si>
    <t>Bull</t>
  </si>
  <si>
    <t>Bear</t>
  </si>
  <si>
    <t>Switch</t>
  </si>
  <si>
    <t>Services Growth</t>
  </si>
  <si>
    <t>COP as % of Revenue</t>
  </si>
  <si>
    <t>COS as % of Revenue</t>
  </si>
  <si>
    <t>R&amp;D as % of Revenue</t>
  </si>
  <si>
    <t>R&amp;D as % of rev</t>
  </si>
  <si>
    <t>SG&amp;A as % of Rev</t>
  </si>
  <si>
    <t>Discount</t>
  </si>
  <si>
    <t>Terminal</t>
  </si>
  <si>
    <t>NPV</t>
  </si>
  <si>
    <t>Model Share Price</t>
  </si>
  <si>
    <t>Upside</t>
  </si>
  <si>
    <t>SG&amp;A as a % of Revenue</t>
  </si>
  <si>
    <t>MC</t>
  </si>
  <si>
    <t>EV</t>
  </si>
  <si>
    <t xml:space="preserve">Price </t>
  </si>
  <si>
    <t>Inputs</t>
  </si>
  <si>
    <t>IPhone Growth</t>
  </si>
  <si>
    <t>IPad Growth</t>
  </si>
  <si>
    <t>Bear Case</t>
  </si>
  <si>
    <t>Bull 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</si>
</sst>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164" formatCode="m/d/yy;@"/>
    <numFmt numFmtId="167" formatCode="[&lt;=9999999]###\-####;\(###\)\ ###\-####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Arial"/>
      <family val="2"/>
    </font>
    <font>
      <i/>
      <sz val="10"/>
      <color theme="1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70C0"/>
      <name val="Calibri"/>
      <family val="2"/>
      <scheme val="minor"/>
    </font>
    <font>
      <sz val="10"/>
      <color theme="1"/>
      <name val="Arial"/>
      <family val="2"/>
    </font>
    <font>
      <b/>
      <sz val="11"/>
      <color rgb="FF0070C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ck">
        <color theme="4" tint="0.499984740745262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1" fillId="2" borderId="2" applyNumberFormat="0" applyFont="0" applyAlignment="0" applyProtection="0"/>
    <xf numFmtId="0" fontId="3" fillId="3" borderId="0" applyNumberFormat="0" applyBorder="0" applyAlignment="0" applyProtection="0"/>
  </cellStyleXfs>
  <cellXfs count="70">
    <xf numFmtId="0" fontId="0" fillId="0" borderId="0" xfId="0"/>
    <xf numFmtId="0" fontId="0" fillId="0" borderId="0" xfId="0" applyAlignment="1">
      <alignment horizontal="right"/>
    </xf>
    <xf numFmtId="14" fontId="0" fillId="0" borderId="0" xfId="0" applyNumberFormat="1"/>
    <xf numFmtId="164" fontId="0" fillId="0" borderId="0" xfId="0" applyNumberFormat="1"/>
    <xf numFmtId="167" fontId="0" fillId="0" borderId="0" xfId="0" applyNumberFormat="1"/>
    <xf numFmtId="0" fontId="2" fillId="0" borderId="0" xfId="0" applyFont="1"/>
    <xf numFmtId="0" fontId="4" fillId="0" borderId="0" xfId="0" applyFont="1"/>
    <xf numFmtId="10" fontId="0" fillId="0" borderId="0" xfId="0" applyNumberFormat="1"/>
    <xf numFmtId="0" fontId="0" fillId="0" borderId="0" xfId="0" applyAlignment="1">
      <alignment horizontal="left"/>
    </xf>
    <xf numFmtId="3" fontId="0" fillId="0" borderId="0" xfId="0" applyNumberFormat="1"/>
    <xf numFmtId="3" fontId="5" fillId="0" borderId="0" xfId="0" applyNumberFormat="1" applyFont="1"/>
    <xf numFmtId="0" fontId="5" fillId="0" borderId="0" xfId="0" applyFont="1"/>
    <xf numFmtId="3" fontId="0" fillId="0" borderId="0" xfId="0" applyNumberFormat="1" applyAlignment="1">
      <alignment horizontal="right"/>
    </xf>
    <xf numFmtId="3" fontId="6" fillId="0" borderId="0" xfId="0" applyNumberFormat="1" applyFont="1" applyAlignment="1">
      <alignment horizontal="right"/>
    </xf>
    <xf numFmtId="4" fontId="5" fillId="0" borderId="0" xfId="0" applyNumberFormat="1" applyFont="1"/>
    <xf numFmtId="9" fontId="5" fillId="0" borderId="0" xfId="0" applyNumberFormat="1" applyFont="1"/>
    <xf numFmtId="9" fontId="0" fillId="0" borderId="0" xfId="0" applyNumberFormat="1"/>
    <xf numFmtId="9" fontId="0" fillId="0" borderId="0" xfId="0" applyNumberFormat="1" applyAlignment="1">
      <alignment horizontal="right"/>
    </xf>
    <xf numFmtId="164" fontId="0" fillId="0" borderId="3" xfId="0" applyNumberFormat="1" applyBorder="1"/>
    <xf numFmtId="0" fontId="0" fillId="0" borderId="3" xfId="0" applyBorder="1" applyAlignment="1">
      <alignment horizontal="right"/>
    </xf>
    <xf numFmtId="3" fontId="0" fillId="0" borderId="3" xfId="0" applyNumberFormat="1" applyBorder="1" applyAlignment="1">
      <alignment horizontal="right"/>
    </xf>
    <xf numFmtId="3" fontId="0" fillId="0" borderId="3" xfId="0" applyNumberFormat="1" applyBorder="1"/>
    <xf numFmtId="3" fontId="5" fillId="0" borderId="3" xfId="0" applyNumberFormat="1" applyFont="1" applyBorder="1"/>
    <xf numFmtId="4" fontId="5" fillId="0" borderId="3" xfId="0" applyNumberFormat="1" applyFont="1" applyBorder="1"/>
    <xf numFmtId="0" fontId="0" fillId="0" borderId="3" xfId="0" applyBorder="1"/>
    <xf numFmtId="9" fontId="5" fillId="0" borderId="3" xfId="0" applyNumberFormat="1" applyFont="1" applyBorder="1"/>
    <xf numFmtId="9" fontId="0" fillId="0" borderId="3" xfId="0" applyNumberFormat="1" applyBorder="1"/>
    <xf numFmtId="37" fontId="0" fillId="0" borderId="0" xfId="0" applyNumberFormat="1" applyAlignment="1">
      <alignment horizontal="right"/>
    </xf>
    <xf numFmtId="37" fontId="0" fillId="0" borderId="0" xfId="0" applyNumberFormat="1"/>
    <xf numFmtId="10" fontId="5" fillId="0" borderId="0" xfId="0" applyNumberFormat="1" applyFont="1"/>
    <xf numFmtId="4" fontId="0" fillId="0" borderId="0" xfId="0" applyNumberFormat="1"/>
    <xf numFmtId="3" fontId="0" fillId="0" borderId="0" xfId="0" applyNumberFormat="1" applyFill="1" applyAlignment="1">
      <alignment horizontal="right"/>
    </xf>
    <xf numFmtId="3" fontId="0" fillId="0" borderId="0" xfId="0" applyNumberFormat="1" applyFill="1"/>
    <xf numFmtId="3" fontId="5" fillId="0" borderId="0" xfId="0" applyNumberFormat="1" applyFont="1" applyFill="1"/>
    <xf numFmtId="0" fontId="0" fillId="4" borderId="0" xfId="0" applyFill="1"/>
    <xf numFmtId="37" fontId="0" fillId="0" borderId="3" xfId="0" applyNumberFormat="1" applyBorder="1"/>
    <xf numFmtId="37" fontId="2" fillId="0" borderId="0" xfId="0" applyNumberFormat="1" applyFont="1"/>
    <xf numFmtId="9" fontId="11" fillId="0" borderId="0" xfId="0" applyNumberFormat="1" applyFont="1"/>
    <xf numFmtId="39" fontId="2" fillId="0" borderId="0" xfId="0" applyNumberFormat="1" applyFont="1"/>
    <xf numFmtId="9" fontId="5" fillId="0" borderId="0" xfId="0" applyNumberFormat="1" applyFont="1" applyBorder="1"/>
    <xf numFmtId="9" fontId="0" fillId="0" borderId="0" xfId="0" applyNumberFormat="1" applyBorder="1"/>
    <xf numFmtId="37" fontId="0" fillId="0" borderId="3" xfId="0" applyNumberFormat="1" applyBorder="1" applyAlignment="1">
      <alignment horizontal="right"/>
    </xf>
    <xf numFmtId="37" fontId="5" fillId="0" borderId="0" xfId="0" applyNumberFormat="1" applyFont="1"/>
    <xf numFmtId="37" fontId="5" fillId="0" borderId="3" xfId="0" applyNumberFormat="1" applyFont="1" applyBorder="1"/>
    <xf numFmtId="37" fontId="0" fillId="0" borderId="0" xfId="0" applyNumberFormat="1" applyBorder="1"/>
    <xf numFmtId="39" fontId="5" fillId="0" borderId="0" xfId="0" applyNumberFormat="1" applyFont="1"/>
    <xf numFmtId="39" fontId="5" fillId="0" borderId="0" xfId="0" applyNumberFormat="1" applyFont="1" applyFill="1"/>
    <xf numFmtId="39" fontId="5" fillId="0" borderId="3" xfId="0" applyNumberFormat="1" applyFont="1" applyFill="1" applyBorder="1"/>
    <xf numFmtId="9" fontId="12" fillId="0" borderId="0" xfId="0" applyNumberFormat="1" applyFont="1"/>
    <xf numFmtId="9" fontId="12" fillId="0" borderId="3" xfId="0" applyNumberFormat="1" applyFont="1" applyBorder="1"/>
    <xf numFmtId="9" fontId="12" fillId="0" borderId="0" xfId="0" applyNumberFormat="1" applyFont="1" applyBorder="1"/>
    <xf numFmtId="3" fontId="12" fillId="0" borderId="0" xfId="0" applyNumberFormat="1" applyFont="1"/>
    <xf numFmtId="10" fontId="0" fillId="0" borderId="0" xfId="0" applyNumberFormat="1" applyAlignment="1">
      <alignment horizontal="right"/>
    </xf>
    <xf numFmtId="37" fontId="11" fillId="0" borderId="0" xfId="0" applyNumberFormat="1" applyFont="1"/>
    <xf numFmtId="37" fontId="13" fillId="0" borderId="0" xfId="0" applyNumberFormat="1" applyFont="1"/>
    <xf numFmtId="39" fontId="13" fillId="0" borderId="0" xfId="0" applyNumberFormat="1" applyFont="1"/>
    <xf numFmtId="37" fontId="11" fillId="0" borderId="0" xfId="0" applyNumberFormat="1" applyFont="1" applyBorder="1"/>
    <xf numFmtId="37" fontId="0" fillId="0" borderId="0" xfId="0" applyNumberFormat="1" applyFill="1" applyBorder="1"/>
    <xf numFmtId="37" fontId="0" fillId="0" borderId="0" xfId="0" applyNumberFormat="1" applyFill="1"/>
    <xf numFmtId="37" fontId="0" fillId="0" borderId="3" xfId="0" applyNumberFormat="1" applyFill="1" applyBorder="1"/>
    <xf numFmtId="39" fontId="5" fillId="0" borderId="0" xfId="0" applyNumberFormat="1" applyFont="1" applyFill="1" applyBorder="1"/>
    <xf numFmtId="8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9" fontId="0" fillId="0" borderId="0" xfId="0" applyNumberFormat="1" applyFill="1" applyAlignment="1">
      <alignment horizontal="center"/>
    </xf>
    <xf numFmtId="0" fontId="3" fillId="3" borderId="1" xfId="2" applyBorder="1" applyAlignment="1">
      <alignment horizontal="center"/>
    </xf>
    <xf numFmtId="0" fontId="3" fillId="3" borderId="4" xfId="2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/>
    <xf numFmtId="37" fontId="0" fillId="2" borderId="2" xfId="1" applyNumberFormat="1" applyFont="1"/>
  </cellXfs>
  <cellStyles count="3">
    <cellStyle name="Accent1" xfId="2" builtinId="29"/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Wilburn, Adrian Karle" id="{FEB4AD0F-BE81-4FDC-AC69-E849C8E7A854}" userId="S::akwilbur@iu.edu::495a91f4-81c2-4939-b44c-da32bdbaf3eb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O20" dT="2023-06-18T22:09:24.90" personId="{FEB4AD0F-BE81-4FDC-AC69-E849C8E7A854}" id="{5C085A6D-9EC1-44D4-9737-5A4821A6992A}">
    <text>Iphone 12 Launch</text>
  </threadedComment>
  <threadedComment ref="R20" dT="2023-06-18T22:09:00.76" personId="{FEB4AD0F-BE81-4FDC-AC69-E849C8E7A854}" id="{801287BC-2389-4FFA-A969-16FD0BDFB3A5}">
    <text>Iphone 13 launch</text>
  </threadedComment>
  <threadedComment ref="G21" dT="2023-06-18T22:10:01.10" personId="{FEB4AD0F-BE81-4FDC-AC69-E849C8E7A854}" id="{C7C13230-C9FE-43D5-82BC-4C5006E4353D}">
    <text>Statista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45296-FAFC-4A53-8DD1-78F6B5D066E9}">
  <dimension ref="A2:S76"/>
  <sheetViews>
    <sheetView workbookViewId="0">
      <selection activeCell="C17" sqref="C17"/>
    </sheetView>
  </sheetViews>
  <sheetFormatPr defaultRowHeight="14.5" x14ac:dyDescent="0.35"/>
  <cols>
    <col min="1" max="1" width="1.7265625" bestFit="1" customWidth="1"/>
    <col min="3" max="3" width="25.90625" bestFit="1" customWidth="1"/>
    <col min="4" max="4" width="13" bestFit="1" customWidth="1"/>
    <col min="7" max="7" width="9.36328125" bestFit="1" customWidth="1"/>
  </cols>
  <sheetData>
    <row r="2" spans="1:19" ht="18.5" x14ac:dyDescent="0.45">
      <c r="A2" t="s">
        <v>25</v>
      </c>
      <c r="B2" s="6" t="s">
        <v>24</v>
      </c>
    </row>
    <row r="5" spans="1:19" x14ac:dyDescent="0.35">
      <c r="A5" t="s">
        <v>25</v>
      </c>
      <c r="B5" t="s">
        <v>26</v>
      </c>
      <c r="C5" t="s">
        <v>34</v>
      </c>
    </row>
    <row r="6" spans="1:19" x14ac:dyDescent="0.35">
      <c r="B6" t="s">
        <v>27</v>
      </c>
      <c r="C6" t="s">
        <v>36</v>
      </c>
    </row>
    <row r="7" spans="1:19" x14ac:dyDescent="0.35">
      <c r="B7" t="s">
        <v>28</v>
      </c>
      <c r="C7" t="s">
        <v>35</v>
      </c>
    </row>
    <row r="8" spans="1:19" x14ac:dyDescent="0.35">
      <c r="B8" t="s">
        <v>29</v>
      </c>
      <c r="C8" s="2">
        <v>27851</v>
      </c>
    </row>
    <row r="9" spans="1:19" x14ac:dyDescent="0.35">
      <c r="B9" t="s">
        <v>30</v>
      </c>
      <c r="C9" s="2">
        <v>29567</v>
      </c>
    </row>
    <row r="10" spans="1:19" x14ac:dyDescent="0.35">
      <c r="B10" t="s">
        <v>31</v>
      </c>
      <c r="C10" t="s">
        <v>37</v>
      </c>
    </row>
    <row r="11" spans="1:19" x14ac:dyDescent="0.35">
      <c r="A11" t="s">
        <v>25</v>
      </c>
      <c r="B11" t="s">
        <v>32</v>
      </c>
      <c r="C11" s="4">
        <v>4089961010</v>
      </c>
    </row>
    <row r="16" spans="1:19" ht="18.5" x14ac:dyDescent="0.45">
      <c r="A16" t="s">
        <v>25</v>
      </c>
      <c r="B16" s="6" t="s">
        <v>192</v>
      </c>
      <c r="S16" s="7"/>
    </row>
    <row r="17" spans="1:19" x14ac:dyDescent="0.35">
      <c r="S17" s="7"/>
    </row>
    <row r="18" spans="1:19" x14ac:dyDescent="0.35">
      <c r="B18" t="s">
        <v>154</v>
      </c>
      <c r="S18" s="7"/>
    </row>
    <row r="19" spans="1:19" x14ac:dyDescent="0.35">
      <c r="B19" t="s">
        <v>155</v>
      </c>
      <c r="S19" s="7"/>
    </row>
    <row r="20" spans="1:19" x14ac:dyDescent="0.35">
      <c r="B20" t="s">
        <v>156</v>
      </c>
    </row>
    <row r="21" spans="1:19" x14ac:dyDescent="0.35">
      <c r="S21" s="7"/>
    </row>
    <row r="24" spans="1:19" ht="18.5" x14ac:dyDescent="0.45">
      <c r="A24" t="s">
        <v>25</v>
      </c>
      <c r="B24" s="6" t="s">
        <v>191</v>
      </c>
    </row>
    <row r="26" spans="1:19" x14ac:dyDescent="0.35">
      <c r="B26" t="s">
        <v>159</v>
      </c>
    </row>
    <row r="27" spans="1:19" x14ac:dyDescent="0.35">
      <c r="B27" t="s">
        <v>160</v>
      </c>
    </row>
    <row r="28" spans="1:19" x14ac:dyDescent="0.35">
      <c r="B28" t="s">
        <v>161</v>
      </c>
    </row>
    <row r="29" spans="1:19" x14ac:dyDescent="0.35">
      <c r="B29" t="s">
        <v>162</v>
      </c>
    </row>
    <row r="32" spans="1:19" ht="18.5" x14ac:dyDescent="0.45">
      <c r="A32" t="s">
        <v>25</v>
      </c>
      <c r="B32" s="6" t="s">
        <v>157</v>
      </c>
    </row>
    <row r="34" spans="1:2" x14ac:dyDescent="0.35">
      <c r="B34" s="5" t="s">
        <v>158</v>
      </c>
    </row>
    <row r="35" spans="1:2" x14ac:dyDescent="0.35">
      <c r="B35" t="s">
        <v>163</v>
      </c>
    </row>
    <row r="36" spans="1:2" x14ac:dyDescent="0.35">
      <c r="B36" t="s">
        <v>46</v>
      </c>
    </row>
    <row r="37" spans="1:2" x14ac:dyDescent="0.35">
      <c r="B37" t="s">
        <v>164</v>
      </c>
    </row>
    <row r="38" spans="1:2" x14ac:dyDescent="0.35">
      <c r="B38" t="s">
        <v>165</v>
      </c>
    </row>
    <row r="40" spans="1:2" x14ac:dyDescent="0.35">
      <c r="B40" s="5" t="s">
        <v>49</v>
      </c>
    </row>
    <row r="41" spans="1:2" x14ac:dyDescent="0.35">
      <c r="B41" t="s">
        <v>166</v>
      </c>
    </row>
    <row r="43" spans="1:2" ht="18.5" x14ac:dyDescent="0.45">
      <c r="A43" t="s">
        <v>25</v>
      </c>
      <c r="B43" s="6" t="s">
        <v>33</v>
      </c>
    </row>
    <row r="53" spans="2:8" x14ac:dyDescent="0.35">
      <c r="B53" s="1"/>
      <c r="C53" s="1"/>
      <c r="D53" s="1"/>
      <c r="E53" s="1"/>
      <c r="F53" s="1"/>
      <c r="G53" s="1"/>
    </row>
    <row r="54" spans="2:8" ht="15" thickBot="1" x14ac:dyDescent="0.4">
      <c r="B54" s="19"/>
      <c r="C54" s="65" t="s">
        <v>188</v>
      </c>
      <c r="D54" s="65" t="s">
        <v>170</v>
      </c>
      <c r="E54" s="65" t="s">
        <v>169</v>
      </c>
      <c r="F54" s="65" t="s">
        <v>171</v>
      </c>
      <c r="G54" s="66" t="s">
        <v>172</v>
      </c>
    </row>
    <row r="55" spans="2:8" ht="15" thickTop="1" x14ac:dyDescent="0.35">
      <c r="B55" s="19"/>
      <c r="C55" s="1"/>
      <c r="D55" s="62">
        <v>1</v>
      </c>
      <c r="E55" s="62">
        <v>2</v>
      </c>
      <c r="F55" s="62">
        <v>3</v>
      </c>
      <c r="G55" s="67"/>
    </row>
    <row r="56" spans="2:8" x14ac:dyDescent="0.35">
      <c r="B56" s="24"/>
      <c r="C56" s="1" t="s">
        <v>189</v>
      </c>
      <c r="D56" s="63">
        <f>E56+0.02</f>
        <v>6.5000000000000002E-2</v>
      </c>
      <c r="E56" s="63">
        <v>4.4999999999999998E-2</v>
      </c>
      <c r="F56" s="63">
        <f>E56-0.03</f>
        <v>1.4999999999999999E-2</v>
      </c>
      <c r="G56" s="67">
        <v>2</v>
      </c>
    </row>
    <row r="57" spans="2:8" x14ac:dyDescent="0.35">
      <c r="B57" s="19"/>
      <c r="C57" s="1" t="s">
        <v>168</v>
      </c>
      <c r="D57" s="63">
        <f>E57+0.05</f>
        <v>0.09</v>
      </c>
      <c r="E57" s="63">
        <v>0.04</v>
      </c>
      <c r="F57" s="63">
        <f>E57-0.02</f>
        <v>0.02</v>
      </c>
      <c r="G57" s="67">
        <v>2</v>
      </c>
    </row>
    <row r="58" spans="2:8" x14ac:dyDescent="0.35">
      <c r="B58" s="19"/>
      <c r="C58" s="1" t="s">
        <v>190</v>
      </c>
      <c r="D58" s="63">
        <f>E58+0.02</f>
        <v>0.06</v>
      </c>
      <c r="E58" s="63">
        <v>0.04</v>
      </c>
      <c r="F58" s="63">
        <f>E58-0.02</f>
        <v>0.02</v>
      </c>
      <c r="G58" s="67">
        <v>2</v>
      </c>
      <c r="H58" s="1"/>
    </row>
    <row r="59" spans="2:8" x14ac:dyDescent="0.35">
      <c r="B59" s="19"/>
      <c r="C59" s="1" t="s">
        <v>167</v>
      </c>
      <c r="D59" s="64">
        <f>E59+0.02</f>
        <v>0.11</v>
      </c>
      <c r="E59" s="64">
        <v>0.09</v>
      </c>
      <c r="F59" s="64">
        <f>E59-0.02</f>
        <v>6.9999999999999993E-2</v>
      </c>
      <c r="G59" s="67">
        <v>2</v>
      </c>
      <c r="H59" s="1"/>
    </row>
    <row r="60" spans="2:8" x14ac:dyDescent="0.35">
      <c r="B60" s="19"/>
      <c r="C60" s="1" t="s">
        <v>173</v>
      </c>
      <c r="D60" s="63">
        <f>E60+0.03</f>
        <v>0.14000000000000001</v>
      </c>
      <c r="E60" s="63">
        <v>0.11</v>
      </c>
      <c r="F60" s="63">
        <f>E60-0.03</f>
        <v>0.08</v>
      </c>
      <c r="G60" s="67">
        <v>2</v>
      </c>
      <c r="H60" s="1"/>
    </row>
    <row r="61" spans="2:8" x14ac:dyDescent="0.35">
      <c r="B61" s="19"/>
      <c r="C61" s="1" t="s">
        <v>175</v>
      </c>
      <c r="D61" s="63">
        <f>E61+0.02</f>
        <v>0.71</v>
      </c>
      <c r="E61" s="63">
        <v>0.69</v>
      </c>
      <c r="F61" s="63">
        <f>E61-0.02</f>
        <v>0.66999999999999993</v>
      </c>
      <c r="G61" s="67">
        <v>2</v>
      </c>
      <c r="H61" s="1"/>
    </row>
    <row r="62" spans="2:8" x14ac:dyDescent="0.35">
      <c r="B62" s="19"/>
      <c r="C62" s="1" t="s">
        <v>174</v>
      </c>
      <c r="D62" s="63">
        <v>0.37</v>
      </c>
      <c r="E62" s="63">
        <v>0.34</v>
      </c>
      <c r="F62" s="63">
        <v>0.32</v>
      </c>
      <c r="G62" s="67">
        <v>2</v>
      </c>
      <c r="H62" s="1"/>
    </row>
    <row r="63" spans="2:8" x14ac:dyDescent="0.35">
      <c r="B63" s="24"/>
      <c r="C63" s="1" t="s">
        <v>184</v>
      </c>
      <c r="D63" s="63">
        <f>E63-0.01</f>
        <v>6.0000000000000005E-2</v>
      </c>
      <c r="E63" s="63">
        <v>7.0000000000000007E-2</v>
      </c>
      <c r="F63" s="63">
        <f>E63+0.01</f>
        <v>0.08</v>
      </c>
      <c r="G63" s="67">
        <v>2</v>
      </c>
      <c r="H63" s="1"/>
    </row>
    <row r="64" spans="2:8" x14ac:dyDescent="0.35">
      <c r="B64" s="24"/>
      <c r="C64" s="1" t="s">
        <v>176</v>
      </c>
      <c r="D64" s="63">
        <v>0.04</v>
      </c>
      <c r="E64" s="63">
        <v>7.0000000000000007E-2</v>
      </c>
      <c r="F64" s="63">
        <v>0.09</v>
      </c>
      <c r="G64" s="67">
        <v>2</v>
      </c>
      <c r="H64" s="1"/>
    </row>
    <row r="65" spans="2:8" x14ac:dyDescent="0.35">
      <c r="B65" s="24"/>
      <c r="C65" s="1" t="s">
        <v>72</v>
      </c>
      <c r="D65" s="63">
        <v>0.14000000000000001</v>
      </c>
      <c r="E65" s="63">
        <v>0.15</v>
      </c>
      <c r="F65" s="63">
        <v>0.16</v>
      </c>
      <c r="G65" s="67">
        <v>2</v>
      </c>
      <c r="H65" s="1"/>
    </row>
    <row r="66" spans="2:8" x14ac:dyDescent="0.35">
      <c r="B66" s="24"/>
      <c r="G66" s="24"/>
      <c r="H66" s="1"/>
    </row>
    <row r="67" spans="2:8" x14ac:dyDescent="0.35">
      <c r="B67" s="24"/>
      <c r="G67" s="24"/>
      <c r="H67" s="1"/>
    </row>
    <row r="68" spans="2:8" x14ac:dyDescent="0.35">
      <c r="B68" s="24"/>
      <c r="C68" s="1"/>
      <c r="D68" s="1"/>
      <c r="E68" s="1"/>
      <c r="F68" s="1"/>
      <c r="G68" s="19"/>
    </row>
    <row r="69" spans="2:8" x14ac:dyDescent="0.35">
      <c r="B69" s="24"/>
      <c r="C69" s="1" t="s">
        <v>179</v>
      </c>
      <c r="D69" s="52">
        <v>7.4999999999999997E-2</v>
      </c>
      <c r="E69" s="1"/>
      <c r="F69" s="1" t="s">
        <v>187</v>
      </c>
      <c r="G69" s="19">
        <v>186.68</v>
      </c>
    </row>
    <row r="70" spans="2:8" x14ac:dyDescent="0.35">
      <c r="B70" s="24"/>
      <c r="C70" s="1" t="s">
        <v>180</v>
      </c>
      <c r="D70" s="17">
        <v>-0.01</v>
      </c>
      <c r="E70" s="1"/>
      <c r="F70" s="1" t="s">
        <v>64</v>
      </c>
      <c r="G70" s="19">
        <v>15847</v>
      </c>
    </row>
    <row r="71" spans="2:8" x14ac:dyDescent="0.35">
      <c r="B71" s="24"/>
      <c r="C71" s="1" t="s">
        <v>181</v>
      </c>
      <c r="D71" s="61">
        <f>Model!BZ24</f>
        <v>2762042.690226648</v>
      </c>
      <c r="E71" s="1"/>
      <c r="F71" s="1" t="s">
        <v>185</v>
      </c>
      <c r="G71" s="41">
        <f>Model!CC24</f>
        <v>2958317.96</v>
      </c>
    </row>
    <row r="72" spans="2:8" x14ac:dyDescent="0.35">
      <c r="B72" s="24"/>
      <c r="C72" s="1" t="s">
        <v>64</v>
      </c>
      <c r="D72" s="27">
        <f>Model!BZ25</f>
        <v>16325.818750000002</v>
      </c>
      <c r="E72" s="1"/>
      <c r="F72" s="1" t="s">
        <v>75</v>
      </c>
      <c r="G72" s="20">
        <f>Model!CC25</f>
        <v>166333</v>
      </c>
    </row>
    <row r="73" spans="2:8" x14ac:dyDescent="0.35">
      <c r="B73" s="24"/>
      <c r="C73" s="1" t="s">
        <v>182</v>
      </c>
      <c r="D73" s="61">
        <f>Model!BZ26</f>
        <v>169.18249139735474</v>
      </c>
      <c r="E73" s="1"/>
      <c r="F73" s="1" t="s">
        <v>86</v>
      </c>
      <c r="G73" s="20">
        <f>Model!CC26</f>
        <v>109615</v>
      </c>
    </row>
    <row r="74" spans="2:8" x14ac:dyDescent="0.35">
      <c r="B74" s="24"/>
      <c r="C74" s="1" t="s">
        <v>183</v>
      </c>
      <c r="D74" s="61">
        <f>Model!BZ27</f>
        <v>-17.497508602645269</v>
      </c>
      <c r="E74" s="1"/>
      <c r="F74" s="1" t="s">
        <v>186</v>
      </c>
      <c r="G74" s="20">
        <f>Model!CC27</f>
        <v>3015035.96</v>
      </c>
    </row>
    <row r="75" spans="2:8" x14ac:dyDescent="0.35">
      <c r="B75" s="24"/>
      <c r="D75" s="7">
        <f>Model!BZ28</f>
        <v>-9.3729958231440258E-2</v>
      </c>
      <c r="E75" s="1"/>
      <c r="F75" s="1"/>
      <c r="G75" s="19"/>
    </row>
    <row r="76" spans="2:8" x14ac:dyDescent="0.35">
      <c r="C76" s="68"/>
      <c r="D76" s="68"/>
      <c r="E76" s="68"/>
      <c r="F76" s="68"/>
      <c r="G76" s="68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43592-B742-4D0C-A4FC-ACDF801BDECE}">
  <dimension ref="A2:FF106"/>
  <sheetViews>
    <sheetView showGridLines="0" tabSelected="1" zoomScale="85" zoomScaleNormal="85" workbookViewId="0">
      <pane xSplit="2" ySplit="3" topLeftCell="BJ4" activePane="bottomRight" state="frozen"/>
      <selection pane="topRight" activeCell="C1" sqref="C1"/>
      <selection pane="bottomLeft" activeCell="A4" sqref="A4"/>
      <selection pane="bottomRight" activeCell="CD19" sqref="CD19"/>
    </sheetView>
  </sheetViews>
  <sheetFormatPr defaultRowHeight="14.5" x14ac:dyDescent="0.35"/>
  <cols>
    <col min="1" max="1" width="1.7265625" bestFit="1" customWidth="1"/>
    <col min="2" max="2" width="13.90625" bestFit="1" customWidth="1"/>
    <col min="3" max="3" width="10.453125" bestFit="1" customWidth="1"/>
    <col min="13" max="13" width="9.36328125" bestFit="1" customWidth="1"/>
    <col min="25" max="25" width="11.1796875" bestFit="1" customWidth="1"/>
    <col min="55" max="55" width="11" bestFit="1" customWidth="1"/>
    <col min="57" max="58" width="8.54296875" bestFit="1" customWidth="1"/>
    <col min="60" max="60" width="9.54296875" customWidth="1"/>
    <col min="66" max="66" width="14" bestFit="1" customWidth="1"/>
    <col min="68" max="71" width="10.1796875" bestFit="1" customWidth="1"/>
    <col min="77" max="77" width="25.90625" bestFit="1" customWidth="1"/>
    <col min="78" max="78" width="14" bestFit="1" customWidth="1"/>
    <col min="81" max="81" width="10.1796875" bestFit="1" customWidth="1"/>
    <col min="86" max="86" width="14" bestFit="1" customWidth="1"/>
    <col min="89" max="89" width="10.1796875" bestFit="1" customWidth="1"/>
    <col min="92" max="92" width="14" bestFit="1" customWidth="1"/>
    <col min="95" max="95" width="10.1796875" bestFit="1" customWidth="1"/>
  </cols>
  <sheetData>
    <row r="2" spans="1:96" x14ac:dyDescent="0.35">
      <c r="C2" s="3">
        <v>43099</v>
      </c>
      <c r="D2" s="3">
        <v>43190</v>
      </c>
      <c r="E2" s="3">
        <v>43281</v>
      </c>
      <c r="F2" s="3">
        <f>+G2-91</f>
        <v>43373</v>
      </c>
      <c r="G2" s="3">
        <f>+H2-91</f>
        <v>43464</v>
      </c>
      <c r="H2" s="3">
        <f>+I2-91</f>
        <v>43555</v>
      </c>
      <c r="I2" s="3">
        <f>+J2-91</f>
        <v>43646</v>
      </c>
      <c r="J2" s="3">
        <f>+K2-90</f>
        <v>43737</v>
      </c>
      <c r="K2" s="3">
        <v>43827</v>
      </c>
      <c r="L2" s="3">
        <v>43918</v>
      </c>
      <c r="M2" s="3">
        <v>44009</v>
      </c>
      <c r="N2" s="3">
        <v>44100</v>
      </c>
      <c r="O2" s="3">
        <v>44191</v>
      </c>
      <c r="P2" s="3">
        <v>44282</v>
      </c>
      <c r="Q2" s="3">
        <v>44373</v>
      </c>
      <c r="R2" s="3">
        <v>44464</v>
      </c>
      <c r="S2" s="3">
        <v>44555</v>
      </c>
      <c r="T2" s="3">
        <v>44646</v>
      </c>
      <c r="U2" s="3">
        <v>44737</v>
      </c>
      <c r="V2" s="3">
        <v>44828</v>
      </c>
      <c r="W2" s="3">
        <v>44926</v>
      </c>
      <c r="X2" s="18">
        <v>45017</v>
      </c>
      <c r="Y2" s="3">
        <f>X2+90</f>
        <v>45107</v>
      </c>
      <c r="Z2" s="3">
        <f>Y2+92</f>
        <v>45199</v>
      </c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>
        <v>44464</v>
      </c>
      <c r="BA2" s="3">
        <v>44828</v>
      </c>
      <c r="BB2" s="3">
        <v>45199</v>
      </c>
      <c r="BC2" s="3">
        <f>BB2+366</f>
        <v>45565</v>
      </c>
      <c r="BD2" s="3">
        <f>BC2+365</f>
        <v>45930</v>
      </c>
      <c r="BE2" s="3">
        <f>BD2+365</f>
        <v>46295</v>
      </c>
      <c r="BF2" s="3">
        <f>BE2+365</f>
        <v>46660</v>
      </c>
      <c r="BG2" s="3">
        <f>BF2+366</f>
        <v>47026</v>
      </c>
      <c r="BH2" s="3">
        <f>BG2+365</f>
        <v>47391</v>
      </c>
      <c r="BI2" s="3">
        <f>BH2+365</f>
        <v>47756</v>
      </c>
      <c r="BJ2" s="3">
        <f>BI2+365</f>
        <v>48121</v>
      </c>
      <c r="BK2" s="3">
        <f>BJ2+366</f>
        <v>48487</v>
      </c>
      <c r="BL2" s="3">
        <f>BK2+365</f>
        <v>48852</v>
      </c>
      <c r="BM2" s="3">
        <f>BL2+365</f>
        <v>49217</v>
      </c>
      <c r="BN2" s="3">
        <f>BM2+365</f>
        <v>49582</v>
      </c>
      <c r="BO2" s="3">
        <f>BN2+366</f>
        <v>49948</v>
      </c>
      <c r="BP2" s="3">
        <f>BO2+365</f>
        <v>50313</v>
      </c>
      <c r="BQ2" s="3">
        <f>BP2+365</f>
        <v>50678</v>
      </c>
      <c r="BR2" s="3">
        <f>BQ2+365</f>
        <v>51043</v>
      </c>
      <c r="BS2" s="3">
        <f>BR2+366</f>
        <v>51409</v>
      </c>
    </row>
    <row r="3" spans="1:96" x14ac:dyDescent="0.35">
      <c r="C3" s="1" t="s">
        <v>0</v>
      </c>
      <c r="D3" s="1" t="s">
        <v>1</v>
      </c>
      <c r="E3" s="1" t="s">
        <v>2</v>
      </c>
      <c r="F3" s="1" t="s">
        <v>3</v>
      </c>
      <c r="G3" s="1" t="s">
        <v>4</v>
      </c>
      <c r="H3" s="1" t="s">
        <v>5</v>
      </c>
      <c r="I3" s="1" t="s">
        <v>6</v>
      </c>
      <c r="J3" s="1" t="s">
        <v>7</v>
      </c>
      <c r="K3" s="1" t="s">
        <v>8</v>
      </c>
      <c r="L3" s="1" t="s">
        <v>9</v>
      </c>
      <c r="M3" s="1" t="s">
        <v>10</v>
      </c>
      <c r="N3" s="1" t="s">
        <v>11</v>
      </c>
      <c r="O3" s="1" t="s">
        <v>12</v>
      </c>
      <c r="P3" s="1" t="s">
        <v>13</v>
      </c>
      <c r="Q3" s="1" t="s">
        <v>14</v>
      </c>
      <c r="R3" s="1" t="s">
        <v>15</v>
      </c>
      <c r="S3" s="1" t="s">
        <v>16</v>
      </c>
      <c r="T3" s="1" t="s">
        <v>17</v>
      </c>
      <c r="U3" s="1" t="s">
        <v>18</v>
      </c>
      <c r="V3" s="1" t="s">
        <v>19</v>
      </c>
      <c r="W3" s="1" t="s">
        <v>20</v>
      </c>
      <c r="X3" s="19" t="s">
        <v>21</v>
      </c>
      <c r="Y3" s="1" t="s">
        <v>22</v>
      </c>
      <c r="Z3" s="1" t="s">
        <v>23</v>
      </c>
      <c r="AC3" s="1" t="s">
        <v>110</v>
      </c>
      <c r="AD3" s="1" t="s">
        <v>111</v>
      </c>
      <c r="AE3" s="1" t="s">
        <v>112</v>
      </c>
      <c r="AF3" s="1" t="s">
        <v>113</v>
      </c>
      <c r="AG3" s="1" t="s">
        <v>114</v>
      </c>
      <c r="AH3" s="1" t="s">
        <v>115</v>
      </c>
      <c r="AI3" s="1" t="s">
        <v>116</v>
      </c>
      <c r="AJ3" s="1" t="s">
        <v>117</v>
      </c>
      <c r="AK3" s="1" t="s">
        <v>118</v>
      </c>
      <c r="AL3" s="1" t="s">
        <v>119</v>
      </c>
      <c r="AM3" s="1" t="s">
        <v>120</v>
      </c>
      <c r="AN3" s="1" t="s">
        <v>121</v>
      </c>
      <c r="AO3" s="1" t="s">
        <v>122</v>
      </c>
      <c r="AP3" s="1" t="s">
        <v>123</v>
      </c>
      <c r="AQ3" s="1" t="s">
        <v>124</v>
      </c>
      <c r="AR3" s="1" t="s">
        <v>125</v>
      </c>
      <c r="AS3" s="1" t="s">
        <v>126</v>
      </c>
      <c r="AT3" s="1" t="s">
        <v>127</v>
      </c>
      <c r="AU3" s="1" t="s">
        <v>128</v>
      </c>
      <c r="AV3" s="1" t="s">
        <v>129</v>
      </c>
      <c r="AW3" s="1" t="s">
        <v>130</v>
      </c>
      <c r="AX3" s="1" t="s">
        <v>131</v>
      </c>
      <c r="AY3" s="1" t="s">
        <v>132</v>
      </c>
      <c r="AZ3" s="1" t="s">
        <v>133</v>
      </c>
      <c r="BA3" s="1" t="s">
        <v>134</v>
      </c>
      <c r="BB3" s="1" t="s">
        <v>135</v>
      </c>
      <c r="BC3" s="1" t="s">
        <v>136</v>
      </c>
      <c r="BD3" s="1" t="s">
        <v>137</v>
      </c>
      <c r="BE3" s="1" t="s">
        <v>138</v>
      </c>
      <c r="BF3" s="1" t="s">
        <v>139</v>
      </c>
      <c r="BG3" s="1" t="s">
        <v>140</v>
      </c>
      <c r="BH3" s="1" t="s">
        <v>141</v>
      </c>
      <c r="BI3" s="1" t="s">
        <v>142</v>
      </c>
      <c r="BJ3" s="1" t="s">
        <v>143</v>
      </c>
      <c r="BK3" s="1" t="s">
        <v>144</v>
      </c>
      <c r="BL3" s="1" t="s">
        <v>145</v>
      </c>
      <c r="BM3" s="1" t="s">
        <v>146</v>
      </c>
      <c r="BN3" s="1" t="s">
        <v>147</v>
      </c>
      <c r="BO3" s="1" t="s">
        <v>148</v>
      </c>
      <c r="BP3" s="1" t="s">
        <v>149</v>
      </c>
      <c r="BQ3" s="1" t="s">
        <v>150</v>
      </c>
      <c r="BR3" s="1" t="s">
        <v>151</v>
      </c>
      <c r="BS3" s="1" t="s">
        <v>152</v>
      </c>
    </row>
    <row r="4" spans="1:96" x14ac:dyDescent="0.35"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9"/>
      <c r="Y4" s="1"/>
      <c r="Z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S4" s="1"/>
    </row>
    <row r="5" spans="1:96" x14ac:dyDescent="0.35"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9"/>
      <c r="Y5" s="1"/>
      <c r="Z5" s="1"/>
      <c r="AC5" s="1"/>
      <c r="AD5" s="1"/>
      <c r="AE5" s="1"/>
      <c r="AF5" s="1"/>
      <c r="AG5" s="1"/>
      <c r="AH5" s="1"/>
      <c r="AI5" s="1"/>
      <c r="AJ5" s="1"/>
      <c r="AK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S5" s="1"/>
    </row>
    <row r="6" spans="1:96" x14ac:dyDescent="0.35"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9"/>
      <c r="Y6" s="1"/>
      <c r="Z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S6" s="1"/>
      <c r="BX6" s="1"/>
      <c r="BY6" s="1"/>
      <c r="BZ6" s="1"/>
      <c r="CA6" s="1"/>
      <c r="CB6" s="1"/>
      <c r="CC6" s="1"/>
    </row>
    <row r="7" spans="1:96" ht="15" thickBot="1" x14ac:dyDescent="0.4"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9"/>
      <c r="Y7" s="1"/>
      <c r="Z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S7" s="1"/>
      <c r="BX7" s="19"/>
      <c r="BY7" s="65" t="s">
        <v>188</v>
      </c>
      <c r="BZ7" s="65" t="s">
        <v>170</v>
      </c>
      <c r="CA7" s="65" t="s">
        <v>169</v>
      </c>
      <c r="CB7" s="65" t="s">
        <v>171</v>
      </c>
      <c r="CC7" s="66" t="s">
        <v>172</v>
      </c>
    </row>
    <row r="8" spans="1:96" ht="15" thickTop="1" x14ac:dyDescent="0.35"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9"/>
      <c r="Y8" s="1"/>
      <c r="Z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S8" s="1"/>
      <c r="BX8" s="19"/>
      <c r="BY8" s="1"/>
      <c r="BZ8" s="62">
        <v>1</v>
      </c>
      <c r="CA8" s="62">
        <v>2</v>
      </c>
      <c r="CB8" s="62">
        <v>3</v>
      </c>
      <c r="CC8" s="67"/>
    </row>
    <row r="9" spans="1:96" x14ac:dyDescent="0.35"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9"/>
      <c r="Y9" s="1"/>
      <c r="Z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S9" s="1"/>
      <c r="BX9" s="24"/>
      <c r="BY9" s="1" t="s">
        <v>189</v>
      </c>
      <c r="BZ9" s="63">
        <f>CA9+0.02</f>
        <v>6.5000000000000002E-2</v>
      </c>
      <c r="CA9" s="63">
        <v>4.4999999999999998E-2</v>
      </c>
      <c r="CB9" s="63">
        <f>CA9-0.03</f>
        <v>1.4999999999999999E-2</v>
      </c>
      <c r="CC9" s="67">
        <v>2</v>
      </c>
      <c r="CR9" s="1"/>
    </row>
    <row r="10" spans="1:96" x14ac:dyDescent="0.35"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9"/>
      <c r="Y10" s="1"/>
      <c r="Z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S10" s="1"/>
      <c r="BX10" s="19"/>
      <c r="BY10" s="1" t="s">
        <v>168</v>
      </c>
      <c r="BZ10" s="63">
        <f>CA10+0.05</f>
        <v>0.09</v>
      </c>
      <c r="CA10" s="63">
        <v>0.04</v>
      </c>
      <c r="CB10" s="63">
        <f>CA10-0.02</f>
        <v>0.02</v>
      </c>
      <c r="CC10" s="67">
        <v>2</v>
      </c>
      <c r="CR10" s="1"/>
    </row>
    <row r="11" spans="1:96" x14ac:dyDescent="0.35"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9"/>
      <c r="Y11" s="1"/>
      <c r="Z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S11" s="1"/>
      <c r="BX11" s="19"/>
      <c r="BY11" s="1" t="s">
        <v>190</v>
      </c>
      <c r="BZ11" s="63">
        <f>CA11+0.02</f>
        <v>0.06</v>
      </c>
      <c r="CA11" s="63">
        <v>0.04</v>
      </c>
      <c r="CB11" s="63">
        <f>CA11-0.02</f>
        <v>0.02</v>
      </c>
      <c r="CC11" s="67">
        <v>2</v>
      </c>
      <c r="CD11" s="1"/>
      <c r="CE11" s="1"/>
      <c r="CF11" s="1"/>
      <c r="CG11" s="1"/>
      <c r="CH11" s="1"/>
      <c r="CI11" s="1"/>
      <c r="CJ11" s="1"/>
      <c r="CK11" s="1"/>
      <c r="CR11" s="1"/>
    </row>
    <row r="12" spans="1:96" x14ac:dyDescent="0.35"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9"/>
      <c r="Y12" s="1"/>
      <c r="Z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S12" s="1"/>
      <c r="BX12" s="19"/>
      <c r="BY12" s="1" t="s">
        <v>167</v>
      </c>
      <c r="BZ12" s="64">
        <f>CA12+0.02</f>
        <v>0.11</v>
      </c>
      <c r="CA12" s="64">
        <v>0.09</v>
      </c>
      <c r="CB12" s="64">
        <f>CA12-0.02</f>
        <v>6.9999999999999993E-2</v>
      </c>
      <c r="CC12" s="67">
        <v>2</v>
      </c>
      <c r="CD12" s="1"/>
      <c r="CE12" s="1"/>
      <c r="CF12" s="1"/>
      <c r="CG12" s="1"/>
      <c r="CH12" s="1"/>
      <c r="CI12" s="1"/>
      <c r="CJ12" s="1"/>
      <c r="CK12" s="1"/>
      <c r="CR12" s="1"/>
    </row>
    <row r="13" spans="1:96" x14ac:dyDescent="0.35"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9"/>
      <c r="Y13" s="1"/>
      <c r="Z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S13" s="1"/>
      <c r="BX13" s="19"/>
      <c r="BY13" s="1" t="s">
        <v>173</v>
      </c>
      <c r="BZ13" s="63">
        <f>CA13+0.03</f>
        <v>0.14000000000000001</v>
      </c>
      <c r="CA13" s="63">
        <v>0.11</v>
      </c>
      <c r="CB13" s="63">
        <f>CA13-0.03</f>
        <v>0.08</v>
      </c>
      <c r="CC13" s="67">
        <v>2</v>
      </c>
      <c r="CD13" s="1"/>
      <c r="CE13" s="1"/>
      <c r="CF13" s="1"/>
      <c r="CR13" s="1"/>
    </row>
    <row r="14" spans="1:96" x14ac:dyDescent="0.35">
      <c r="A14" t="s">
        <v>25</v>
      </c>
      <c r="B14" s="8" t="s">
        <v>38</v>
      </c>
      <c r="C14" s="27">
        <v>35193</v>
      </c>
      <c r="D14" s="27">
        <v>24841</v>
      </c>
      <c r="E14" s="27">
        <v>24542</v>
      </c>
      <c r="F14" s="27">
        <f>112093-E14-D14-C14</f>
        <v>27517</v>
      </c>
      <c r="G14" s="27">
        <v>36940</v>
      </c>
      <c r="H14" s="27">
        <v>25596</v>
      </c>
      <c r="I14" s="27">
        <v>25056</v>
      </c>
      <c r="J14" s="27">
        <f>116914-I14-H14-G14</f>
        <v>29322</v>
      </c>
      <c r="K14" s="27">
        <v>41367</v>
      </c>
      <c r="L14" s="27">
        <v>25473</v>
      </c>
      <c r="M14" s="27">
        <v>27018</v>
      </c>
      <c r="N14" s="27">
        <f>124556-M14-L14-K14</f>
        <v>30698</v>
      </c>
      <c r="O14" s="27">
        <v>46310</v>
      </c>
      <c r="P14" s="27">
        <v>34306</v>
      </c>
      <c r="Q14" s="27">
        <v>35870</v>
      </c>
      <c r="R14" s="27">
        <f>169658-Q14-P14-O14</f>
        <v>53172</v>
      </c>
      <c r="S14" s="27">
        <v>51496</v>
      </c>
      <c r="T14" s="12">
        <v>40882</v>
      </c>
      <c r="U14" s="12">
        <v>37472</v>
      </c>
      <c r="V14" s="12">
        <f>169658-U14-T14-S14</f>
        <v>39808</v>
      </c>
      <c r="W14" s="12">
        <v>49278</v>
      </c>
      <c r="X14" s="20">
        <v>37784</v>
      </c>
      <c r="BX14" s="19"/>
      <c r="BY14" s="1" t="s">
        <v>175</v>
      </c>
      <c r="BZ14" s="63">
        <f>CA14+0.02</f>
        <v>0.71</v>
      </c>
      <c r="CA14" s="63">
        <v>0.69</v>
      </c>
      <c r="CB14" s="63">
        <f>CA14-0.02</f>
        <v>0.66999999999999993</v>
      </c>
      <c r="CC14" s="67">
        <v>2</v>
      </c>
      <c r="CD14" s="1"/>
      <c r="CF14" s="1"/>
      <c r="CR14" s="1"/>
    </row>
    <row r="15" spans="1:96" x14ac:dyDescent="0.35">
      <c r="B15" s="8" t="s">
        <v>39</v>
      </c>
      <c r="C15" s="27">
        <v>21054</v>
      </c>
      <c r="D15" s="27">
        <v>13846</v>
      </c>
      <c r="E15" s="27">
        <v>12138</v>
      </c>
      <c r="F15" s="27">
        <f>62420-E15-D15-C15</f>
        <v>15382</v>
      </c>
      <c r="G15" s="27">
        <v>20363</v>
      </c>
      <c r="H15" s="27">
        <v>13054</v>
      </c>
      <c r="I15" s="27">
        <v>11925</v>
      </c>
      <c r="J15" s="27">
        <f>60288-I15-H15-G15</f>
        <v>14946</v>
      </c>
      <c r="K15" s="27">
        <v>23273</v>
      </c>
      <c r="L15" s="27">
        <v>14294</v>
      </c>
      <c r="M15" s="27">
        <v>14173</v>
      </c>
      <c r="N15" s="27">
        <f>68640-M15-L15-K15</f>
        <v>16900</v>
      </c>
      <c r="O15" s="27">
        <v>27306</v>
      </c>
      <c r="P15" s="27">
        <v>22264</v>
      </c>
      <c r="Q15" s="27">
        <v>18943</v>
      </c>
      <c r="R15" s="27">
        <f>95118-Q15-P15-O15</f>
        <v>26605</v>
      </c>
      <c r="S15" s="27">
        <v>29749</v>
      </c>
      <c r="T15" s="12">
        <v>23287</v>
      </c>
      <c r="U15" s="12">
        <v>19287</v>
      </c>
      <c r="V15" s="12">
        <f>95118-U15-T15-S15</f>
        <v>22795</v>
      </c>
      <c r="W15" s="12">
        <v>27681</v>
      </c>
      <c r="X15" s="20">
        <v>23945</v>
      </c>
      <c r="Z15" s="28"/>
      <c r="AA15" s="28"/>
      <c r="BX15" s="19"/>
      <c r="BY15" s="1" t="s">
        <v>174</v>
      </c>
      <c r="BZ15" s="63">
        <v>0.37</v>
      </c>
      <c r="CA15" s="63">
        <v>0.34</v>
      </c>
      <c r="CB15" s="63">
        <v>0.32</v>
      </c>
      <c r="CC15" s="67">
        <v>2</v>
      </c>
      <c r="CD15" s="1"/>
      <c r="CF15" s="1"/>
      <c r="CR15" s="1"/>
    </row>
    <row r="16" spans="1:96" x14ac:dyDescent="0.35">
      <c r="B16" s="8" t="s">
        <v>40</v>
      </c>
      <c r="C16" s="27">
        <v>17956</v>
      </c>
      <c r="D16" s="27">
        <v>13024</v>
      </c>
      <c r="E16" s="27">
        <v>9551</v>
      </c>
      <c r="F16" s="27">
        <f>51942-E16-D16-C16</f>
        <v>11411</v>
      </c>
      <c r="G16" s="27">
        <v>13169</v>
      </c>
      <c r="H16" s="27">
        <v>10218</v>
      </c>
      <c r="I16" s="27">
        <v>9157</v>
      </c>
      <c r="J16" s="27">
        <f>43678-I16-H16-G16</f>
        <v>11134</v>
      </c>
      <c r="K16" s="27">
        <v>13578</v>
      </c>
      <c r="L16" s="27">
        <v>9455</v>
      </c>
      <c r="M16" s="27">
        <v>9329</v>
      </c>
      <c r="N16" s="27">
        <f>40308-M16-L16-K16</f>
        <v>7946</v>
      </c>
      <c r="O16" s="27">
        <v>21313</v>
      </c>
      <c r="P16" s="27">
        <v>17728</v>
      </c>
      <c r="Q16" s="27">
        <v>14604</v>
      </c>
      <c r="R16" s="27">
        <f>74200-Q16-P16-O16</f>
        <v>20555</v>
      </c>
      <c r="S16" s="27">
        <v>25783</v>
      </c>
      <c r="T16" s="12">
        <v>18343</v>
      </c>
      <c r="U16" s="12">
        <v>14604</v>
      </c>
      <c r="V16" s="12">
        <f>74200-U16-T16-S16</f>
        <v>15470</v>
      </c>
      <c r="W16" s="12">
        <v>23905</v>
      </c>
      <c r="X16" s="20">
        <v>17812</v>
      </c>
      <c r="BX16" s="24"/>
      <c r="BY16" s="1" t="s">
        <v>184</v>
      </c>
      <c r="BZ16" s="63">
        <f>CA16-0.01</f>
        <v>6.0000000000000005E-2</v>
      </c>
      <c r="CA16" s="63">
        <v>7.0000000000000007E-2</v>
      </c>
      <c r="CB16" s="63">
        <f>CA16+0.01</f>
        <v>0.08</v>
      </c>
      <c r="CC16" s="67">
        <v>2</v>
      </c>
      <c r="CD16" s="1"/>
      <c r="CF16" s="1"/>
      <c r="CR16" s="1"/>
    </row>
    <row r="17" spans="1:96" x14ac:dyDescent="0.35">
      <c r="B17" s="8" t="s">
        <v>41</v>
      </c>
      <c r="C17" s="27">
        <v>7237</v>
      </c>
      <c r="D17" s="27">
        <v>5468</v>
      </c>
      <c r="E17" s="27">
        <v>3867</v>
      </c>
      <c r="F17" s="27">
        <f>21733-E17-D17-C17</f>
        <v>5161</v>
      </c>
      <c r="G17" s="27">
        <v>6910</v>
      </c>
      <c r="H17" s="27">
        <v>5532</v>
      </c>
      <c r="I17" s="27">
        <v>4082</v>
      </c>
      <c r="J17" s="27">
        <f>21506-I17-H17-G17</f>
        <v>4982</v>
      </c>
      <c r="K17" s="27">
        <v>6223</v>
      </c>
      <c r="L17" s="27">
        <v>5206</v>
      </c>
      <c r="M17" s="27">
        <v>4966</v>
      </c>
      <c r="N17" s="27">
        <f>21418-M17-L17-K17</f>
        <v>5023</v>
      </c>
      <c r="O17" s="27">
        <v>8285</v>
      </c>
      <c r="P17" s="27">
        <v>7742</v>
      </c>
      <c r="Q17" s="27">
        <v>5446</v>
      </c>
      <c r="R17" s="27">
        <f>25977-Q17-P17-O17</f>
        <v>4504</v>
      </c>
      <c r="S17" s="27">
        <v>7107</v>
      </c>
      <c r="T17" s="12">
        <v>7724</v>
      </c>
      <c r="U17" s="12">
        <v>5446</v>
      </c>
      <c r="V17" s="12">
        <f>25977-U17-T17-S17</f>
        <v>5700</v>
      </c>
      <c r="W17" s="12">
        <v>6755</v>
      </c>
      <c r="X17" s="20">
        <v>7176</v>
      </c>
      <c r="AA17" s="28"/>
      <c r="BX17" s="24"/>
      <c r="BY17" s="1" t="s">
        <v>176</v>
      </c>
      <c r="BZ17" s="63">
        <v>0.04</v>
      </c>
      <c r="CA17" s="63">
        <v>7.0000000000000007E-2</v>
      </c>
      <c r="CB17" s="63">
        <v>0.09</v>
      </c>
      <c r="CC17" s="67">
        <v>2</v>
      </c>
      <c r="CD17" s="1"/>
      <c r="CF17" s="1"/>
      <c r="CR17" s="1"/>
    </row>
    <row r="18" spans="1:96" x14ac:dyDescent="0.35">
      <c r="A18" t="s">
        <v>25</v>
      </c>
      <c r="B18" s="8" t="s">
        <v>42</v>
      </c>
      <c r="C18" s="27">
        <v>6853</v>
      </c>
      <c r="D18" s="27">
        <v>3958</v>
      </c>
      <c r="E18" s="27">
        <v>3167</v>
      </c>
      <c r="F18" s="27">
        <f>17407-E18-D18-C18</f>
        <v>3429</v>
      </c>
      <c r="G18" s="27">
        <v>6928</v>
      </c>
      <c r="H18" s="27">
        <v>3615</v>
      </c>
      <c r="I18" s="27">
        <v>3589</v>
      </c>
      <c r="J18" s="27">
        <f>17788-I18-H18-G18</f>
        <v>3656</v>
      </c>
      <c r="K18" s="27">
        <v>7378</v>
      </c>
      <c r="L18" s="27">
        <v>3885</v>
      </c>
      <c r="M18" s="27">
        <v>4199</v>
      </c>
      <c r="N18" s="27">
        <f>19593-M18-L18-K18</f>
        <v>4131</v>
      </c>
      <c r="O18" s="27">
        <v>8225</v>
      </c>
      <c r="P18" s="27">
        <v>7544</v>
      </c>
      <c r="Q18" s="27">
        <v>6150</v>
      </c>
      <c r="R18" s="27">
        <f>29375-Q18-P18-O18</f>
        <v>7456</v>
      </c>
      <c r="S18" s="27">
        <v>3349</v>
      </c>
      <c r="T18" s="12">
        <v>7042</v>
      </c>
      <c r="U18" s="12">
        <v>6150</v>
      </c>
      <c r="V18" s="12">
        <f>26356-U18-T18-S18</f>
        <v>9815</v>
      </c>
      <c r="W18" s="12">
        <v>9535</v>
      </c>
      <c r="X18" s="20">
        <v>8119</v>
      </c>
      <c r="BA18" s="24"/>
      <c r="BX18" s="24"/>
      <c r="BY18" s="1" t="s">
        <v>72</v>
      </c>
      <c r="BZ18" s="63">
        <v>0.14000000000000001</v>
      </c>
      <c r="CA18" s="63">
        <v>0.15</v>
      </c>
      <c r="CB18" s="63">
        <v>0.16</v>
      </c>
      <c r="CC18" s="67">
        <v>2</v>
      </c>
      <c r="CD18" s="1"/>
      <c r="CE18" s="1"/>
      <c r="CF18" s="1"/>
      <c r="CR18" s="1"/>
    </row>
    <row r="19" spans="1:96" x14ac:dyDescent="0.35">
      <c r="B19" s="1"/>
      <c r="C19" s="27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27"/>
      <c r="P19" s="1"/>
      <c r="Q19" s="1"/>
      <c r="R19" s="1"/>
      <c r="S19" s="1"/>
      <c r="T19" s="1"/>
      <c r="U19" s="1"/>
      <c r="V19" s="1"/>
      <c r="W19" s="1"/>
      <c r="X19" s="19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2"/>
      <c r="AX19" s="1"/>
      <c r="AY19" s="1"/>
      <c r="AZ19" s="1"/>
      <c r="BA19" s="19"/>
      <c r="BX19" s="24"/>
      <c r="CC19" s="24"/>
      <c r="CD19" s="1"/>
      <c r="CE19" s="1"/>
      <c r="CF19" s="1"/>
    </row>
    <row r="20" spans="1:96" x14ac:dyDescent="0.35">
      <c r="A20" t="s">
        <v>25</v>
      </c>
      <c r="B20" s="9" t="s">
        <v>43</v>
      </c>
      <c r="C20" s="12">
        <v>61104</v>
      </c>
      <c r="D20" s="31">
        <v>38032</v>
      </c>
      <c r="E20" s="12">
        <v>29906</v>
      </c>
      <c r="F20" s="12">
        <f>166699-E20-D20-C20</f>
        <v>37657</v>
      </c>
      <c r="G20" s="12">
        <v>51982</v>
      </c>
      <c r="H20" s="12">
        <v>31051</v>
      </c>
      <c r="I20" s="12">
        <v>25986</v>
      </c>
      <c r="J20" s="12">
        <f>142381-I20-H20-G20</f>
        <v>33362</v>
      </c>
      <c r="K20" s="12">
        <v>55957</v>
      </c>
      <c r="L20" s="12">
        <v>28962</v>
      </c>
      <c r="M20" s="12">
        <v>26418</v>
      </c>
      <c r="N20" s="12">
        <v>26444</v>
      </c>
      <c r="O20" s="12">
        <v>65597</v>
      </c>
      <c r="P20" s="12">
        <v>47938</v>
      </c>
      <c r="Q20" s="12">
        <v>39570</v>
      </c>
      <c r="R20" s="12">
        <v>38868</v>
      </c>
      <c r="S20" s="12">
        <v>71628</v>
      </c>
      <c r="T20" s="12">
        <v>50570</v>
      </c>
      <c r="U20" s="12">
        <v>40665</v>
      </c>
      <c r="V20" s="12">
        <v>42626</v>
      </c>
      <c r="W20" s="12">
        <v>65775</v>
      </c>
      <c r="X20" s="20">
        <v>51334</v>
      </c>
      <c r="Y20" s="69">
        <f>Y28*$AB$20</f>
        <v>42785.907092034759</v>
      </c>
      <c r="Z20" s="69">
        <f>Z28*$AB$20</f>
        <v>50372.76701852218</v>
      </c>
      <c r="AB20" s="7">
        <f>X20/X28</f>
        <v>0.69436892153282204</v>
      </c>
      <c r="AC20" s="12"/>
      <c r="AD20" s="12"/>
      <c r="AE20" s="12"/>
      <c r="AF20" s="27">
        <v>0</v>
      </c>
      <c r="AG20" s="27">
        <v>0</v>
      </c>
      <c r="AH20" s="27">
        <v>0</v>
      </c>
      <c r="AI20" s="27">
        <v>0</v>
      </c>
      <c r="AJ20" s="27">
        <v>0</v>
      </c>
      <c r="AK20" s="27">
        <v>0</v>
      </c>
      <c r="AL20" s="27">
        <v>123</v>
      </c>
      <c r="AM20" s="27">
        <v>6742</v>
      </c>
      <c r="AN20" s="27">
        <v>13033</v>
      </c>
      <c r="AO20" s="27">
        <v>25179</v>
      </c>
      <c r="AP20" s="27">
        <v>45998</v>
      </c>
      <c r="AQ20" s="27">
        <v>78692</v>
      </c>
      <c r="AR20" s="27">
        <v>91279</v>
      </c>
      <c r="AS20" s="27">
        <v>101991</v>
      </c>
      <c r="AT20" s="27">
        <v>155041</v>
      </c>
      <c r="AU20" s="27">
        <v>136700</v>
      </c>
      <c r="AV20" s="27">
        <v>141319</v>
      </c>
      <c r="AW20" s="27">
        <f>SUM(C20:F20)</f>
        <v>166699</v>
      </c>
      <c r="AX20" s="27">
        <v>142381</v>
      </c>
      <c r="AY20" s="27">
        <f>SUM(K20:N20)</f>
        <v>137781</v>
      </c>
      <c r="AZ20" s="27">
        <f>SUM(O20:R20)</f>
        <v>191973</v>
      </c>
      <c r="BA20" s="41">
        <f>SUM(S20:V20)</f>
        <v>205489</v>
      </c>
      <c r="BB20" s="53">
        <f>SUM(W20:Z20)</f>
        <v>210267.67411055695</v>
      </c>
      <c r="BC20" s="28">
        <f>BB20*IF($CC$9=1,1+$BZ$9,IF($CC$9=2,(1+$CA$9),IF($CC$9=3,(1+$CB$9))))</f>
        <v>219729.71944553201</v>
      </c>
      <c r="BD20" s="28">
        <f>BC20*IF($CC$9=1,1+$BZ$9,IF($CC$9=2,(1+$CA$9),IF($CC$9=3,(1+$CB$9))))</f>
        <v>229617.55682058094</v>
      </c>
      <c r="BE20" s="28">
        <f>BD20*IF($CC$9=1,1+$BZ$9,IF($CC$9=2,(1+$CA$9),IF($CC$9=3,(1+$CB$9))))</f>
        <v>239950.34687750708</v>
      </c>
      <c r="BF20" s="28">
        <f>BE20*IF($CC$9=1,1+$BZ$9,IF($CC$9=2,(1+$CA$9),IF($CC$9=3,(1+$CB$9))))</f>
        <v>250748.11248699488</v>
      </c>
      <c r="BG20" s="28">
        <f>BF20*IF($CC$9=1,1+$BZ$9,IF($CC$9=2,(1+$CA$9),IF($CC$9=3,(1+$CB$9))))</f>
        <v>262031.77754890962</v>
      </c>
      <c r="BH20" s="28">
        <f>BG20*IF($CC$9=1,1+$BZ$9,IF($CC$9=2,(1+$CA$9),IF($CC$9=3,(1+$CB$9))))</f>
        <v>273823.20753861056</v>
      </c>
      <c r="BI20" s="28">
        <f>BH20*IF($CC$9=1,1+$BZ$9,IF($CC$9=2,(1+$CA$9),IF($CC$9=3,(1+$CB$9))))</f>
        <v>286145.251877848</v>
      </c>
      <c r="BJ20" s="28">
        <f>BI20*IF($CC$9=1,1+$BZ$9,IF($CC$9=2,(1+$CA$9),IF($CC$9=3,(1+$CB$9))))</f>
        <v>299021.78821235115</v>
      </c>
      <c r="BK20" s="28">
        <f>BJ20*IF($CC$9=1,1+$BZ$9,IF($CC$9=2,(1+$CA$9),IF($CC$9=3,(1+$CB$9))))</f>
        <v>312477.76868190692</v>
      </c>
      <c r="BL20" s="28">
        <f>BK20*IF($CC$9=1,1+$BZ$9,IF($CC$9=2,(1+$CA$9),IF($CC$9=3,(1+$CB$9))))</f>
        <v>326539.26827259269</v>
      </c>
      <c r="BM20" s="28">
        <f>BL20*IF($CC$9=1,1+$BZ$9,IF($CC$9=2,(1+$CA$9),IF($CC$9=3,(1+$CB$9))))</f>
        <v>341233.53534485935</v>
      </c>
      <c r="BN20" s="28">
        <f>BM20*IF($CC$9=1,1+$BZ$9,IF($CC$9=2,(1+$CA$9),IF($CC$9=3,(1+$CB$9))))</f>
        <v>356589.04443537799</v>
      </c>
      <c r="BO20" s="28">
        <f>BN20*IF($CC$9=1,1+$BZ$9,IF($CC$9=2,(1+$CA$9),IF($CC$9=3,(1+$CB$9))))</f>
        <v>372635.55143497</v>
      </c>
      <c r="BP20" s="28">
        <f>BO20*IF($CC$9=1,1+$BZ$9,IF($CC$9=2,(1+$CA$9),IF($CC$9=3,(1+$CB$9))))</f>
        <v>389404.15124954365</v>
      </c>
      <c r="BQ20" s="28">
        <f>BP20*IF($CC$9=1,1+$BZ$9,IF($CC$9=2,(1+$CA$9),IF($CC$9=3,(1+$CB$9))))</f>
        <v>406927.33805577306</v>
      </c>
      <c r="BR20" s="28">
        <f>BQ20*IF($CC$9=1,1+$BZ$9,IF($CC$9=2,(1+$CA$9),IF($CC$9=3,(1+$CB$9))))</f>
        <v>425239.0682682828</v>
      </c>
      <c r="BS20" s="28">
        <f>BR20*IF($CC$9=1,1+$BZ$9,IF($CC$9=2,(1+$CA$9),IF($CC$9=3,(1+$CB$9))))</f>
        <v>444374.8263403555</v>
      </c>
      <c r="BX20" s="24"/>
      <c r="CC20" s="24"/>
      <c r="CD20" s="1"/>
      <c r="CE20" s="1"/>
      <c r="CF20" s="1"/>
    </row>
    <row r="21" spans="1:96" x14ac:dyDescent="0.35">
      <c r="B21" s="9" t="s">
        <v>44</v>
      </c>
      <c r="C21" s="12">
        <v>52217</v>
      </c>
      <c r="D21" s="31">
        <v>41300</v>
      </c>
      <c r="E21" s="12">
        <v>46900</v>
      </c>
      <c r="F21" s="12">
        <v>68400</v>
      </c>
      <c r="G21" s="12">
        <v>36400</v>
      </c>
      <c r="H21" s="12">
        <v>33800</v>
      </c>
      <c r="I21" s="12">
        <v>46600</v>
      </c>
      <c r="J21" s="12">
        <v>73800</v>
      </c>
      <c r="K21" s="12">
        <v>36700</v>
      </c>
      <c r="L21" s="12">
        <v>37600</v>
      </c>
      <c r="M21" s="12">
        <v>41700</v>
      </c>
      <c r="N21" s="12">
        <v>90100</v>
      </c>
      <c r="O21" s="12">
        <v>55200</v>
      </c>
      <c r="P21" s="12">
        <v>44200</v>
      </c>
      <c r="Q21" s="12">
        <v>50400</v>
      </c>
      <c r="R21" s="12">
        <v>84100</v>
      </c>
      <c r="S21" s="12">
        <v>56500</v>
      </c>
      <c r="T21" s="12">
        <v>49328</v>
      </c>
      <c r="U21" s="12">
        <v>51900</v>
      </c>
      <c r="V21" s="12">
        <v>72300</v>
      </c>
      <c r="W21" s="12"/>
      <c r="X21" s="20"/>
      <c r="AC21" s="12"/>
      <c r="AD21" s="12"/>
      <c r="AE21" s="12"/>
      <c r="AF21" s="27"/>
      <c r="AG21" s="27"/>
      <c r="AH21" s="27"/>
      <c r="AI21" s="27"/>
      <c r="AJ21" s="27"/>
      <c r="AK21" s="27"/>
      <c r="AL21" s="27"/>
      <c r="AM21" s="27"/>
      <c r="AN21" s="27">
        <v>20731</v>
      </c>
      <c r="AO21" s="27">
        <v>39989</v>
      </c>
      <c r="AP21" s="27">
        <v>72293</v>
      </c>
      <c r="AQ21" s="27">
        <v>125046</v>
      </c>
      <c r="AR21" s="27">
        <v>150257</v>
      </c>
      <c r="AS21" s="27">
        <v>169219</v>
      </c>
      <c r="AT21" s="27">
        <v>231218</v>
      </c>
      <c r="AU21" s="27">
        <v>211884</v>
      </c>
      <c r="AV21" s="27">
        <f>SUM(C21:F21)</f>
        <v>208817</v>
      </c>
      <c r="AW21" s="27">
        <f>SUM(D21:G21)</f>
        <v>193000</v>
      </c>
      <c r="AX21" s="27">
        <f>SUM(H21:K21)</f>
        <v>190900</v>
      </c>
      <c r="AY21" s="27">
        <f>SUM(K21:N21)</f>
        <v>206100</v>
      </c>
      <c r="AZ21" s="27">
        <f>SUM(P21:S21)</f>
        <v>235200</v>
      </c>
      <c r="BA21" s="41">
        <f>SUM(S21:V21)</f>
        <v>230028</v>
      </c>
      <c r="BB21" s="53">
        <f t="shared" ref="BB21:BB44" si="0">SUM(W21:Z21)</f>
        <v>0</v>
      </c>
      <c r="BX21" s="24"/>
      <c r="BY21" s="1"/>
      <c r="BZ21" s="1"/>
      <c r="CA21" s="1"/>
      <c r="CB21" s="1"/>
      <c r="CC21" s="19"/>
    </row>
    <row r="22" spans="1:96" x14ac:dyDescent="0.35">
      <c r="A22" t="s">
        <v>25</v>
      </c>
      <c r="B22" s="9" t="s">
        <v>45</v>
      </c>
      <c r="C22" s="12">
        <f>+C20*1000/C21</f>
        <v>1170.1936151061914</v>
      </c>
      <c r="D22" s="31">
        <f>+D20*1000/D21</f>
        <v>920.87167070217913</v>
      </c>
      <c r="E22" s="12">
        <f>+E20*1000/E21</f>
        <v>637.65458422174845</v>
      </c>
      <c r="F22" s="12">
        <f>+F20*1000/F21</f>
        <v>550.54093567251459</v>
      </c>
      <c r="G22" s="12">
        <f t="shared" ref="G22:J22" si="1">+G20*1000/G21</f>
        <v>1428.0769230769231</v>
      </c>
      <c r="H22" s="12">
        <f t="shared" si="1"/>
        <v>918.66863905325442</v>
      </c>
      <c r="I22" s="12">
        <f t="shared" si="1"/>
        <v>557.63948497854074</v>
      </c>
      <c r="J22" s="12">
        <f t="shared" si="1"/>
        <v>452.05962059620595</v>
      </c>
      <c r="K22" s="12">
        <f t="shared" ref="K22:T22" si="2">+K20*1000/K21</f>
        <v>1524.7138964577657</v>
      </c>
      <c r="L22" s="12">
        <f t="shared" si="2"/>
        <v>770.26595744680856</v>
      </c>
      <c r="M22" s="12">
        <f t="shared" si="2"/>
        <v>633.52517985611507</v>
      </c>
      <c r="N22" s="12">
        <f t="shared" si="2"/>
        <v>293.49611542730298</v>
      </c>
      <c r="O22" s="12">
        <f t="shared" si="2"/>
        <v>1188.3514492753623</v>
      </c>
      <c r="P22" s="12">
        <f t="shared" si="2"/>
        <v>1084.5701357466064</v>
      </c>
      <c r="Q22" s="12">
        <f t="shared" si="2"/>
        <v>785.11904761904759</v>
      </c>
      <c r="R22" s="12">
        <f t="shared" si="2"/>
        <v>462.16409036860881</v>
      </c>
      <c r="S22" s="12">
        <f t="shared" si="2"/>
        <v>1267.7522123893805</v>
      </c>
      <c r="T22" s="12">
        <f t="shared" si="2"/>
        <v>1025.1783976646125</v>
      </c>
      <c r="U22" s="13">
        <f>+Q22*1.05</f>
        <v>824.375</v>
      </c>
      <c r="V22" s="13">
        <f>+R22*1.05</f>
        <v>485.27229488703927</v>
      </c>
      <c r="W22" s="12"/>
      <c r="X22" s="20"/>
      <c r="AC22" s="12"/>
      <c r="AD22" s="12"/>
      <c r="AE22" s="12"/>
      <c r="AF22" s="27"/>
      <c r="AG22" s="27"/>
      <c r="AH22" s="27"/>
      <c r="AI22" s="27"/>
      <c r="AJ22" s="27"/>
      <c r="AK22" s="27"/>
      <c r="AL22" s="27"/>
      <c r="AM22" s="27"/>
      <c r="AN22" s="27">
        <f>+AN20*1000/AN21</f>
        <v>628.67203704596977</v>
      </c>
      <c r="AO22" s="27">
        <f>+AO20*1000/AO21</f>
        <v>629.64815324214157</v>
      </c>
      <c r="AP22" s="27">
        <f>+AP20*1000/AP21</f>
        <v>636.27183821393498</v>
      </c>
      <c r="AQ22" s="27">
        <f>+AQ20*1000/AQ21</f>
        <v>629.3044159749212</v>
      </c>
      <c r="AR22" s="27">
        <f t="shared" ref="AR22:AV22" si="3">+AR20*1000/AR21</f>
        <v>607.48584092588032</v>
      </c>
      <c r="AS22" s="27">
        <f t="shared" si="3"/>
        <v>602.71600706776428</v>
      </c>
      <c r="AT22" s="27">
        <f t="shared" si="3"/>
        <v>670.54035585464794</v>
      </c>
      <c r="AU22" s="27">
        <f t="shared" si="3"/>
        <v>645.16433520228054</v>
      </c>
      <c r="AV22" s="27">
        <f>+AV20*1000/AV21</f>
        <v>676.76003390528547</v>
      </c>
      <c r="AW22" s="27">
        <f>+AW20*1000/AW21</f>
        <v>863.72538860103623</v>
      </c>
      <c r="AX22" s="27">
        <f>+AX20*1000/AX21</f>
        <v>745.84075432163434</v>
      </c>
      <c r="AY22" s="27">
        <f>+AY20*1000/AY21</f>
        <v>668.51528384279482</v>
      </c>
      <c r="AZ22" s="27">
        <f>+AZ20*1000/AZ21</f>
        <v>816.21173469387759</v>
      </c>
      <c r="BA22" s="41">
        <f>+BA20*1000/BA21</f>
        <v>893.32168257777312</v>
      </c>
      <c r="BB22" s="53">
        <f t="shared" si="0"/>
        <v>0</v>
      </c>
      <c r="BX22" s="24"/>
      <c r="BY22" s="1" t="s">
        <v>179</v>
      </c>
      <c r="BZ22" s="52">
        <v>7.4999999999999997E-2</v>
      </c>
      <c r="CA22" s="1"/>
      <c r="CB22" s="1" t="s">
        <v>187</v>
      </c>
      <c r="CC22" s="19">
        <v>186.68</v>
      </c>
    </row>
    <row r="23" spans="1:96" x14ac:dyDescent="0.35">
      <c r="B23" s="9"/>
      <c r="C23" s="12"/>
      <c r="D23" s="31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20"/>
      <c r="AB23" t="s">
        <v>153</v>
      </c>
      <c r="AC23" s="12"/>
      <c r="AD23" s="12"/>
      <c r="AE23" s="12"/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7"/>
      <c r="AR23" s="27"/>
      <c r="AS23" s="27"/>
      <c r="AT23" s="27"/>
      <c r="AU23" s="27"/>
      <c r="AV23" s="27"/>
      <c r="AW23" s="27"/>
      <c r="AX23" s="27"/>
      <c r="AY23" s="27"/>
      <c r="AZ23" s="27"/>
      <c r="BA23" s="41"/>
      <c r="BB23" s="53">
        <f t="shared" si="0"/>
        <v>0</v>
      </c>
      <c r="BX23" s="24"/>
      <c r="BY23" s="1" t="s">
        <v>180</v>
      </c>
      <c r="BZ23" s="17">
        <v>-0.01</v>
      </c>
      <c r="CA23" s="1"/>
      <c r="CB23" s="1" t="s">
        <v>64</v>
      </c>
      <c r="CC23" s="19">
        <v>15847</v>
      </c>
    </row>
    <row r="24" spans="1:96" x14ac:dyDescent="0.35">
      <c r="A24" t="s">
        <v>25</v>
      </c>
      <c r="B24" s="9" t="s">
        <v>46</v>
      </c>
      <c r="C24" s="12">
        <v>6824</v>
      </c>
      <c r="D24" s="31">
        <v>5848</v>
      </c>
      <c r="E24" s="12">
        <v>5330</v>
      </c>
      <c r="F24" s="12">
        <f>25484-E24-D24-C24</f>
        <v>7482</v>
      </c>
      <c r="G24" s="12">
        <v>7416</v>
      </c>
      <c r="H24" s="12">
        <v>5513</v>
      </c>
      <c r="I24" s="12">
        <v>5820</v>
      </c>
      <c r="J24" s="12">
        <f>25740-I24-H24-G24</f>
        <v>6991</v>
      </c>
      <c r="K24" s="12">
        <v>7160</v>
      </c>
      <c r="L24" s="12">
        <v>5351</v>
      </c>
      <c r="M24" s="12">
        <v>7079</v>
      </c>
      <c r="N24" s="12">
        <v>9032</v>
      </c>
      <c r="O24" s="12">
        <v>8675</v>
      </c>
      <c r="P24" s="12">
        <v>9102</v>
      </c>
      <c r="Q24" s="12">
        <v>8235</v>
      </c>
      <c r="R24" s="12">
        <v>9178</v>
      </c>
      <c r="S24" s="12">
        <v>10852</v>
      </c>
      <c r="T24" s="12">
        <v>10435</v>
      </c>
      <c r="U24" s="12">
        <v>7382</v>
      </c>
      <c r="V24" s="12">
        <v>11508</v>
      </c>
      <c r="W24" s="12">
        <v>7735</v>
      </c>
      <c r="X24" s="20">
        <v>7168</v>
      </c>
      <c r="Y24" s="69">
        <f>Y28*$AB$24</f>
        <v>5974.3908917229346</v>
      </c>
      <c r="Z24" s="69">
        <f>Z28*$AB$24</f>
        <v>7033.7786649933187</v>
      </c>
      <c r="AB24" s="7">
        <f>X24/$X$28</f>
        <v>9.6957892031543785E-2</v>
      </c>
      <c r="AC24" s="12"/>
      <c r="AD24" s="12"/>
      <c r="AE24" s="12">
        <f>2747+948+2381</f>
        <v>6076</v>
      </c>
      <c r="AF24" s="27">
        <v>4403</v>
      </c>
      <c r="AG24" s="27">
        <v>4534</v>
      </c>
      <c r="AH24" s="27">
        <v>4491</v>
      </c>
      <c r="AI24" s="27">
        <v>4923</v>
      </c>
      <c r="AJ24" s="27">
        <v>6275</v>
      </c>
      <c r="AK24" s="27">
        <v>7375</v>
      </c>
      <c r="AL24" s="27">
        <v>10314</v>
      </c>
      <c r="AM24" s="27">
        <v>14354</v>
      </c>
      <c r="AN24" s="27">
        <v>13859</v>
      </c>
      <c r="AO24" s="27">
        <v>17479</v>
      </c>
      <c r="AP24" s="27">
        <v>21783</v>
      </c>
      <c r="AQ24" s="27">
        <v>23221</v>
      </c>
      <c r="AR24" s="27">
        <v>21483</v>
      </c>
      <c r="AS24" s="27">
        <v>24079</v>
      </c>
      <c r="AT24" s="27">
        <v>25471</v>
      </c>
      <c r="AU24" s="27">
        <v>22831</v>
      </c>
      <c r="AV24" s="27">
        <v>25850</v>
      </c>
      <c r="AW24" s="27">
        <f>SUM(C24:F24)</f>
        <v>25484</v>
      </c>
      <c r="AX24" s="27">
        <v>25740</v>
      </c>
      <c r="AY24" s="27">
        <f>SUM(K24:N24)</f>
        <v>28622</v>
      </c>
      <c r="AZ24" s="27">
        <f>SUM(O24:R24)</f>
        <v>35190</v>
      </c>
      <c r="BA24" s="41">
        <f>SUM(S24:V24)</f>
        <v>40177</v>
      </c>
      <c r="BB24" s="53">
        <f t="shared" si="0"/>
        <v>27911.169556716253</v>
      </c>
      <c r="BC24" s="28">
        <f>BB24*IF($CC$10=1,1+$BZ$10,IF($CC$10=2,1+$CA$10,IF($CC$10=3,1+$CB$10,0)))</f>
        <v>29027.616338984906</v>
      </c>
      <c r="BD24" s="28">
        <f>BC24*IF($CC$10=1,1+$BZ$10,IF($CC$10=2,1+$CA$10,IF($CC$10=3,1+$CB$10,0)))</f>
        <v>30188.720992544302</v>
      </c>
      <c r="BE24" s="28">
        <f>BD24*IF($CC$10=1,1+$BZ$10,IF($CC$10=2,1+$CA$10,IF($CC$10=3,1+$CB$10,0)))</f>
        <v>31396.269832246075</v>
      </c>
      <c r="BF24" s="28">
        <f>BE24*IF($CC$10=1,1+$BZ$10,IF($CC$10=2,1+$CA$10,IF($CC$10=3,1+$CB$10,0)))</f>
        <v>32652.120625535917</v>
      </c>
      <c r="BG24" s="28">
        <f>BF24*IF($CC$10=1,1+$BZ$10,IF($CC$10=2,1+$CA$10,IF($CC$10=3,1+$CB$10,0)))</f>
        <v>33958.205450557354</v>
      </c>
      <c r="BH24" s="28">
        <f>BG24*IF($CC$10=1,1+$BZ$10,IF($CC$10=2,1+$CA$10,IF($CC$10=3,1+$CB$10,0)))</f>
        <v>35316.53366857965</v>
      </c>
      <c r="BI24" s="28">
        <f>BH24*IF($CC$10=1,1+$BZ$10,IF($CC$10=2,1+$CA$10,IF($CC$10=3,1+$CB$10,0)))</f>
        <v>36729.195015322839</v>
      </c>
      <c r="BJ24" s="28">
        <f>BI24*IF($CC$10=1,1+$BZ$10,IF($CC$10=2,1+$CA$10,IF($CC$10=3,1+$CB$10,0)))</f>
        <v>38198.362815935754</v>
      </c>
      <c r="BK24" s="28">
        <f>BJ24*IF($CC$10=1,1+$BZ$10,IF($CC$10=2,1+$CA$10,IF($CC$10=3,1+$CB$10,0)))</f>
        <v>39726.297328573186</v>
      </c>
      <c r="BL24" s="28">
        <f>BK24*IF($CC$10=1,1+$BZ$10,IF($CC$10=2,1+$CA$10,IF($CC$10=3,1+$CB$10,0)))</f>
        <v>41315.349221716118</v>
      </c>
      <c r="BM24" s="28">
        <f>BL24*IF($CC$10=1,1+$BZ$10,IF($CC$10=2,1+$CA$10,IF($CC$10=3,1+$CB$10,0)))</f>
        <v>42967.963190584764</v>
      </c>
      <c r="BN24" s="28">
        <f>BM24*IF($CC$10=1,1+$BZ$10,IF($CC$10=2,1+$CA$10,IF($CC$10=3,1+$CB$10,0)))</f>
        <v>44686.681718208158</v>
      </c>
      <c r="BO24" s="28">
        <f>BN24*IF($CC$10=1,1+$BZ$10,IF($CC$10=2,1+$CA$10,IF($CC$10=3,1+$CB$10,0)))</f>
        <v>46474.148986936489</v>
      </c>
      <c r="BP24" s="28">
        <f>BO24*IF($CC$10=1,1+$BZ$10,IF($CC$10=2,1+$CA$10,IF($CC$10=3,1+$CB$10,0)))</f>
        <v>48333.114946413953</v>
      </c>
      <c r="BQ24" s="28">
        <f>BP24*IF($CC$10=1,1+$BZ$10,IF($CC$10=2,1+$CA$10,IF($CC$10=3,1+$CB$10,0)))</f>
        <v>50266.439544270514</v>
      </c>
      <c r="BR24" s="28">
        <f>BQ24*IF($CC$10=1,1+$BZ$10,IF($CC$10=2,1+$CA$10,IF($CC$10=3,1+$CB$10,0)))</f>
        <v>52277.097126041335</v>
      </c>
      <c r="BS24" s="28">
        <f>BR24*IF($CC$10=1,1+$BZ$10,IF($CC$10=2,1+$CA$10,IF($CC$10=3,1+$CB$10,0)))</f>
        <v>54368.18101108299</v>
      </c>
      <c r="BX24" s="24"/>
      <c r="BY24" s="1" t="s">
        <v>181</v>
      </c>
      <c r="BZ24" s="61">
        <f>NPV($BZ$22,$BB$42:$FF$42)+$CC$25-$CC$26</f>
        <v>2762042.690226648</v>
      </c>
      <c r="CA24" s="1"/>
      <c r="CB24" s="1" t="s">
        <v>185</v>
      </c>
      <c r="CC24" s="41">
        <f>$CC$23*$CC$22</f>
        <v>2958317.96</v>
      </c>
    </row>
    <row r="25" spans="1:96" x14ac:dyDescent="0.35">
      <c r="B25" s="9" t="s">
        <v>47</v>
      </c>
      <c r="C25" s="12">
        <v>5755</v>
      </c>
      <c r="D25" s="31">
        <v>4113</v>
      </c>
      <c r="E25" s="12">
        <v>4741</v>
      </c>
      <c r="F25" s="12">
        <f>18805-E25-D25-C25</f>
        <v>4196</v>
      </c>
      <c r="G25" s="12">
        <v>6729</v>
      </c>
      <c r="H25" s="12">
        <v>4872</v>
      </c>
      <c r="I25" s="12">
        <v>5023</v>
      </c>
      <c r="J25" s="12">
        <f>21280-I25-H25-G25</f>
        <v>4656</v>
      </c>
      <c r="K25" s="12">
        <v>5977</v>
      </c>
      <c r="L25" s="12">
        <v>4368</v>
      </c>
      <c r="M25" s="12">
        <v>6582</v>
      </c>
      <c r="N25" s="12">
        <v>6797</v>
      </c>
      <c r="O25" s="12">
        <v>8435</v>
      </c>
      <c r="P25" s="12">
        <v>7807</v>
      </c>
      <c r="Q25" s="12">
        <v>7368</v>
      </c>
      <c r="R25" s="12">
        <v>8252</v>
      </c>
      <c r="S25" s="12">
        <v>7248</v>
      </c>
      <c r="T25" s="12">
        <v>7646</v>
      </c>
      <c r="U25" s="12">
        <v>7224</v>
      </c>
      <c r="V25" s="12">
        <v>7174</v>
      </c>
      <c r="W25" s="12">
        <v>9396</v>
      </c>
      <c r="X25" s="20">
        <v>6670</v>
      </c>
      <c r="Y25" s="69">
        <f>Y28*$AB$25</f>
        <v>5559.3174173816933</v>
      </c>
      <c r="Z25" s="69">
        <f>Z28*$AB$25</f>
        <v>6545.1037521631461</v>
      </c>
      <c r="AB25" s="7">
        <f t="shared" ref="AB25:AB26" si="4">X25/$X$28</f>
        <v>9.0221699197879049E-2</v>
      </c>
      <c r="AC25" s="12"/>
      <c r="AD25" s="12"/>
      <c r="AE25" s="12">
        <v>0</v>
      </c>
      <c r="AF25" s="27">
        <v>0</v>
      </c>
      <c r="AG25" s="27">
        <v>0</v>
      </c>
      <c r="AH25" s="27">
        <v>0</v>
      </c>
      <c r="AI25" s="27">
        <v>0</v>
      </c>
      <c r="AJ25" s="27">
        <v>0</v>
      </c>
      <c r="AK25" s="27">
        <v>0</v>
      </c>
      <c r="AL25" s="27">
        <v>0</v>
      </c>
      <c r="AM25" s="27">
        <v>0</v>
      </c>
      <c r="AN25" s="27">
        <v>0</v>
      </c>
      <c r="AO25" s="27">
        <v>4958</v>
      </c>
      <c r="AP25" s="27">
        <v>19168</v>
      </c>
      <c r="AQ25" s="27">
        <v>30945</v>
      </c>
      <c r="AR25" s="27">
        <v>31980</v>
      </c>
      <c r="AS25" s="27">
        <v>30283</v>
      </c>
      <c r="AT25" s="27">
        <v>23227</v>
      </c>
      <c r="AU25" s="27">
        <v>20628</v>
      </c>
      <c r="AV25" s="27">
        <v>19222</v>
      </c>
      <c r="AW25" s="27">
        <f t="shared" ref="AW25:AW26" si="5">SUM(C25:F25)</f>
        <v>18805</v>
      </c>
      <c r="AX25" s="27">
        <v>21280</v>
      </c>
      <c r="AY25" s="27">
        <f t="shared" ref="AY25:AY26" si="6">SUM(K25:N25)</f>
        <v>23724</v>
      </c>
      <c r="AZ25" s="27">
        <f t="shared" ref="AZ25:AZ26" si="7">SUM(O25:R25)</f>
        <v>31862</v>
      </c>
      <c r="BA25" s="41">
        <f t="shared" ref="BA25:BA26" si="8">SUM(S25:V25)</f>
        <v>29292</v>
      </c>
      <c r="BB25" s="53">
        <f t="shared" si="0"/>
        <v>28170.421169544839</v>
      </c>
      <c r="BC25" s="28">
        <f>BB25*IF($CC$11=1,1+$BZ$11,IF($CC$11=2,1+$CA$11,IF($CC$11=3,1+$CB$11,0)))</f>
        <v>29297.238016326635</v>
      </c>
      <c r="BD25" s="28">
        <f>BC25*IF($CC$11=1,1+$BZ$11,IF($CC$11=2,1+$CA$11,IF($CC$11=3,1+$CB$11,0)))</f>
        <v>30469.1275369797</v>
      </c>
      <c r="BE25" s="28">
        <f>BD25*IF($CC$11=1,1+$BZ$11,IF($CC$11=2,1+$CA$11,IF($CC$11=3,1+$CB$11,0)))</f>
        <v>31687.892638458889</v>
      </c>
      <c r="BF25" s="28">
        <f>BE25*IF($CC$11=1,1+$BZ$11,IF($CC$11=2,1+$CA$11,IF($CC$11=3,1+$CB$11,0)))</f>
        <v>32955.408343997246</v>
      </c>
      <c r="BG25" s="28">
        <f>BF25*IF($CC$11=1,1+$BZ$11,IF($CC$11=2,1+$CA$11,IF($CC$11=3,1+$CB$11,0)))</f>
        <v>34273.624677757136</v>
      </c>
      <c r="BH25" s="28">
        <f>BG25*IF($CC$11=1,1+$BZ$11,IF($CC$11=2,1+$CA$11,IF($CC$11=3,1+$CB$11,0)))</f>
        <v>35644.56966486742</v>
      </c>
      <c r="BI25" s="28">
        <f>BH25*IF($CC$11=1,1+$BZ$11,IF($CC$11=2,1+$CA$11,IF($CC$11=3,1+$CB$11,0)))</f>
        <v>37070.352451462117</v>
      </c>
      <c r="BJ25" s="28">
        <f>BI25*IF($CC$11=1,1+$BZ$11,IF($CC$11=2,1+$CA$11,IF($CC$11=3,1+$CB$11,0)))</f>
        <v>38553.166549520603</v>
      </c>
      <c r="BK25" s="28">
        <f>BJ25*IF($CC$11=1,1+$BZ$11,IF($CC$11=2,1+$CA$11,IF($CC$11=3,1+$CB$11,0)))</f>
        <v>40095.293211501426</v>
      </c>
      <c r="BL25" s="28">
        <f>BK25*IF($CC$11=1,1+$BZ$11,IF($CC$11=2,1+$CA$11,IF($CC$11=3,1+$CB$11,0)))</f>
        <v>41699.104939961486</v>
      </c>
      <c r="BM25" s="28">
        <f>BL25*IF($CC$11=1,1+$BZ$11,IF($CC$11=2,1+$CA$11,IF($CC$11=3,1+$CB$11,0)))</f>
        <v>43367.069137559949</v>
      </c>
      <c r="BN25" s="28">
        <f>BM25*IF($CC$11=1,1+$BZ$11,IF($CC$11=2,1+$CA$11,IF($CC$11=3,1+$CB$11,0)))</f>
        <v>45101.751903062352</v>
      </c>
      <c r="BO25" s="28">
        <f>BN25*IF($CC$11=1,1+$BZ$11,IF($CC$11=2,1+$CA$11,IF($CC$11=3,1+$CB$11,0)))</f>
        <v>46905.821979184846</v>
      </c>
      <c r="BP25" s="28">
        <f>BO25*IF($CC$11=1,1+$BZ$11,IF($CC$11=2,1+$CA$11,IF($CC$11=3,1+$CB$11,0)))</f>
        <v>48782.05485835224</v>
      </c>
      <c r="BQ25" s="28">
        <f>BP25*IF($CC$11=1,1+$BZ$11,IF($CC$11=2,1+$CA$11,IF($CC$11=3,1+$CB$11,0)))</f>
        <v>50733.337052686329</v>
      </c>
      <c r="BR25" s="28">
        <f>BQ25*IF($CC$11=1,1+$BZ$11,IF($CC$11=2,1+$CA$11,IF($CC$11=3,1+$CB$11,0)))</f>
        <v>52762.670534793782</v>
      </c>
      <c r="BS25" s="28">
        <f>BR25*IF($CC$11=1,1+$BZ$11,IF($CC$11=2,1+$CA$11,IF($CC$11=3,1+$CB$11,0)))</f>
        <v>54873.177356185537</v>
      </c>
      <c r="BX25" s="24"/>
      <c r="BY25" s="1" t="s">
        <v>64</v>
      </c>
      <c r="BZ25" s="27">
        <f>$BA$44</f>
        <v>16325.818750000002</v>
      </c>
      <c r="CA25" s="1"/>
      <c r="CB25" s="1" t="s">
        <v>75</v>
      </c>
      <c r="CC25" s="20">
        <f>$X$64</f>
        <v>166333</v>
      </c>
    </row>
    <row r="26" spans="1:96" x14ac:dyDescent="0.35">
      <c r="A26" t="s">
        <v>25</v>
      </c>
      <c r="B26" s="9" t="s">
        <v>105</v>
      </c>
      <c r="C26" s="12">
        <v>5481</v>
      </c>
      <c r="D26" s="31">
        <v>3954</v>
      </c>
      <c r="E26" s="12">
        <v>3740</v>
      </c>
      <c r="F26" s="12">
        <f>17417-E26-D26-C26</f>
        <v>4242</v>
      </c>
      <c r="G26" s="12">
        <v>7308</v>
      </c>
      <c r="H26" s="12">
        <v>5129</v>
      </c>
      <c r="I26" s="12">
        <v>5525</v>
      </c>
      <c r="J26" s="12">
        <f>24482-I26-H26-G26</f>
        <v>6520</v>
      </c>
      <c r="K26" s="12">
        <v>10010</v>
      </c>
      <c r="L26" s="12">
        <v>6284</v>
      </c>
      <c r="M26" s="12">
        <v>6450</v>
      </c>
      <c r="N26" s="12">
        <v>7876</v>
      </c>
      <c r="O26" s="12">
        <v>12971</v>
      </c>
      <c r="P26" s="12">
        <v>7836</v>
      </c>
      <c r="Q26" s="12">
        <v>8775</v>
      </c>
      <c r="R26" s="12">
        <v>8785</v>
      </c>
      <c r="S26" s="12">
        <v>14701</v>
      </c>
      <c r="T26" s="12">
        <v>8806</v>
      </c>
      <c r="U26" s="12">
        <v>8084</v>
      </c>
      <c r="V26" s="12">
        <v>9650</v>
      </c>
      <c r="W26" s="12">
        <v>13482</v>
      </c>
      <c r="X26" s="20">
        <v>8757</v>
      </c>
      <c r="Y26" s="69">
        <f>Y28*$AB$26</f>
        <v>7298.7919976029207</v>
      </c>
      <c r="Z26" s="69">
        <f>Z28*$AB$26</f>
        <v>8593.0245213932049</v>
      </c>
      <c r="AB26" s="7">
        <f t="shared" si="4"/>
        <v>0.11845148723775514</v>
      </c>
      <c r="AC26" s="12"/>
      <c r="AD26" s="12"/>
      <c r="AE26" s="12">
        <v>809</v>
      </c>
      <c r="AF26" s="27">
        <v>387</v>
      </c>
      <c r="AG26" s="27">
        <f>143+4+527</f>
        <v>674</v>
      </c>
      <c r="AH26" s="27">
        <f>345+691</f>
        <v>1036</v>
      </c>
      <c r="AI26" s="27">
        <f>1306+951</f>
        <v>2257</v>
      </c>
      <c r="AJ26" s="27">
        <f>4540+1126</f>
        <v>5666</v>
      </c>
      <c r="AK26" s="27">
        <f>7676+1100</f>
        <v>8776</v>
      </c>
      <c r="AL26" s="27">
        <f>8305+1260</f>
        <v>9565</v>
      </c>
      <c r="AM26" s="27">
        <f>9153+1694</f>
        <v>10847</v>
      </c>
      <c r="AN26" s="27">
        <f>1475+8091</f>
        <v>9566</v>
      </c>
      <c r="AO26" s="27">
        <f>1814+8274</f>
        <v>10088</v>
      </c>
      <c r="AP26" s="27">
        <f>7453+4474</f>
        <v>11927</v>
      </c>
      <c r="AQ26" s="27">
        <f>5145+5615</f>
        <v>10760</v>
      </c>
      <c r="AR26" s="27">
        <f>4411+5706</f>
        <v>10117</v>
      </c>
      <c r="AS26" s="27">
        <f>6093+2286</f>
        <v>8379</v>
      </c>
      <c r="AT26" s="27">
        <v>10067</v>
      </c>
      <c r="AU26" s="27">
        <v>11132</v>
      </c>
      <c r="AV26" s="27">
        <v>12863</v>
      </c>
      <c r="AW26" s="27">
        <f t="shared" si="5"/>
        <v>17417</v>
      </c>
      <c r="AX26" s="27">
        <v>24482</v>
      </c>
      <c r="AY26" s="27">
        <f t="shared" si="6"/>
        <v>30620</v>
      </c>
      <c r="AZ26" s="27">
        <f t="shared" si="7"/>
        <v>38367</v>
      </c>
      <c r="BA26" s="41">
        <f>SUM(S26:V26)</f>
        <v>41241</v>
      </c>
      <c r="BB26" s="53">
        <f t="shared" si="0"/>
        <v>38130.816518996129</v>
      </c>
      <c r="BC26" s="28">
        <f>BB26*IF($CC$12=1,1+$BZ$12,IF($CC$12=2,1+$CA$12,IF($CC$12=3,1+$CB$12,0)))</f>
        <v>41562.590005705781</v>
      </c>
      <c r="BD26" s="28">
        <f>BC26*IF($CC$12=1,1+$BZ$12,IF($CC$12=2,1+$CA$12,IF($CC$12=3,1+$CB$12,0)))</f>
        <v>45303.223106219302</v>
      </c>
      <c r="BE26" s="28">
        <f>BD26*IF($CC$12=1,1+$BZ$12,IF($CC$12=2,1+$CA$12,IF($CC$12=3,1+$CB$12,0)))</f>
        <v>49380.51318577904</v>
      </c>
      <c r="BF26" s="28">
        <f>BE26*IF($CC$12=1,1+$BZ$12,IF($CC$12=2,1+$CA$12,IF($CC$12=3,1+$CB$12,0)))</f>
        <v>53824.75937249916</v>
      </c>
      <c r="BG26" s="28">
        <f>BF26*IF($CC$12=1,1+$BZ$12,IF($CC$12=2,1+$CA$12,IF($CC$12=3,1+$CB$12,0)))</f>
        <v>58668.987716024087</v>
      </c>
      <c r="BH26" s="28">
        <f>BG26*IF($CC$12=1,1+$BZ$12,IF($CC$12=2,1+$CA$12,IF($CC$12=3,1+$CB$12,0)))</f>
        <v>63949.196610466257</v>
      </c>
      <c r="BI26" s="28">
        <f>BH26*IF($CC$12=1,1+$BZ$12,IF($CC$12=2,1+$CA$12,IF($CC$12=3,1+$CB$12,0)))</f>
        <v>69704.62430540823</v>
      </c>
      <c r="BJ26" s="28">
        <f>BI26*IF($CC$12=1,1+$BZ$12,IF($CC$12=2,1+$CA$12,IF($CC$12=3,1+$CB$12,0)))</f>
        <v>75978.040492894972</v>
      </c>
      <c r="BK26" s="28">
        <f>BJ26*IF($CC$12=1,1+$BZ$12,IF($CC$12=2,1+$CA$12,IF($CC$12=3,1+$CB$12,0)))</f>
        <v>82816.064137255526</v>
      </c>
      <c r="BL26" s="28">
        <f>BK26*IF($CC$12=1,1+$BZ$12,IF($CC$12=2,1+$CA$12,IF($CC$12=3,1+$CB$12,0)))</f>
        <v>90269.509909608532</v>
      </c>
      <c r="BM26" s="28">
        <f>BL26*IF($CC$12=1,1+$BZ$12,IF($CC$12=2,1+$CA$12,IF($CC$12=3,1+$CB$12,0)))</f>
        <v>98393.765801473302</v>
      </c>
      <c r="BN26" s="28">
        <f>BM26*IF($CC$12=1,1+$BZ$12,IF($CC$12=2,1+$CA$12,IF($CC$12=3,1+$CB$12,0)))</f>
        <v>107249.2047236059</v>
      </c>
      <c r="BO26" s="28">
        <f>BN26*IF($CC$12=1,1+$BZ$12,IF($CC$12=2,1+$CA$12,IF($CC$12=3,1+$CB$12,0)))</f>
        <v>116901.63314873044</v>
      </c>
      <c r="BP26" s="28">
        <f>BO26*IF($CC$12=1,1+$BZ$12,IF($CC$12=2,1+$CA$12,IF($CC$12=3,1+$CB$12,0)))</f>
        <v>127422.7801321162</v>
      </c>
      <c r="BQ26" s="28">
        <f>BP26*IF($CC$12=1,1+$BZ$12,IF($CC$12=2,1+$CA$12,IF($CC$12=3,1+$CB$12,0)))</f>
        <v>138890.83034400665</v>
      </c>
      <c r="BR26" s="28">
        <f>BQ26*IF($CC$12=1,1+$BZ$12,IF($CC$12=2,1+$CA$12,IF($CC$12=3,1+$CB$12,0)))</f>
        <v>151391.00507496725</v>
      </c>
      <c r="BS26" s="28">
        <f>BR26*IF($CC$12=1,1+$BZ$12,IF($CC$12=2,1+$CA$12,IF($CC$12=3,1+$CB$12,0)))</f>
        <v>165016.19553171433</v>
      </c>
      <c r="BX26" s="24"/>
      <c r="BY26" s="1" t="s">
        <v>182</v>
      </c>
      <c r="BZ26" s="61">
        <f>$BZ$24/$BZ$25</f>
        <v>169.18249139735474</v>
      </c>
      <c r="CA26" s="1"/>
      <c r="CB26" s="1" t="s">
        <v>86</v>
      </c>
      <c r="CC26" s="20">
        <f>$X$76</f>
        <v>109615</v>
      </c>
    </row>
    <row r="27" spans="1:96" x14ac:dyDescent="0.35">
      <c r="B27" s="9"/>
      <c r="C27" s="12"/>
      <c r="D27" s="31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20"/>
      <c r="AC27" s="12"/>
      <c r="AD27" s="12"/>
      <c r="AE27" s="12"/>
      <c r="AF27" s="27"/>
      <c r="AG27" s="27"/>
      <c r="AH27" s="27"/>
      <c r="AI27" s="27"/>
      <c r="AJ27" s="27"/>
      <c r="AK27" s="27"/>
      <c r="AL27" s="27"/>
      <c r="AM27" s="27"/>
      <c r="AN27" s="27"/>
      <c r="AO27" s="27"/>
      <c r="AP27" s="27"/>
      <c r="AQ27" s="27"/>
      <c r="AR27" s="27"/>
      <c r="AS27" s="27"/>
      <c r="AT27" s="27"/>
      <c r="AU27" s="27"/>
      <c r="AV27" s="27"/>
      <c r="AW27" s="27"/>
      <c r="AX27" s="27"/>
      <c r="AY27" s="27"/>
      <c r="AZ27" s="27"/>
      <c r="BA27" s="41"/>
      <c r="BB27" s="53">
        <f t="shared" si="0"/>
        <v>0</v>
      </c>
      <c r="BX27" s="24"/>
      <c r="BY27" s="1" t="s">
        <v>183</v>
      </c>
      <c r="BZ27" s="61">
        <f>$BZ$26-$CC$22</f>
        <v>-17.497508602645269</v>
      </c>
      <c r="CA27" s="1"/>
      <c r="CB27" s="1" t="s">
        <v>186</v>
      </c>
      <c r="CC27" s="20">
        <f>$CC$24+$CC$25-$CC$26</f>
        <v>3015035.96</v>
      </c>
    </row>
    <row r="28" spans="1:96" x14ac:dyDescent="0.35">
      <c r="A28" t="s">
        <v>25</v>
      </c>
      <c r="B28" s="9" t="s">
        <v>48</v>
      </c>
      <c r="C28" s="9">
        <f>SUM(C24:C26)+C20</f>
        <v>79164</v>
      </c>
      <c r="D28" s="32">
        <f>SUM(D24:D26)+D20</f>
        <v>51947</v>
      </c>
      <c r="E28" s="9">
        <f>SUM(E24:E26)+E20</f>
        <v>43717</v>
      </c>
      <c r="F28" s="9">
        <f>SUM(F24:F26)+F20</f>
        <v>53577</v>
      </c>
      <c r="G28" s="9">
        <f>SUM(G24:G26)+G20</f>
        <v>73435</v>
      </c>
      <c r="H28" s="9">
        <f>SUM(H24:H26)+H20</f>
        <v>46565</v>
      </c>
      <c r="I28" s="9">
        <f>SUM(I24:I26)+I20</f>
        <v>42354</v>
      </c>
      <c r="J28" s="9">
        <f>SUM(J24:J26)+J20</f>
        <v>51529</v>
      </c>
      <c r="K28" s="9">
        <f>SUM(K24:K26)+K20</f>
        <v>79104</v>
      </c>
      <c r="L28" s="9">
        <f t="shared" ref="K28:R28" si="9">SUM(L24:L26)+L20</f>
        <v>44965</v>
      </c>
      <c r="M28" s="9">
        <f t="shared" si="9"/>
        <v>46529</v>
      </c>
      <c r="N28" s="9">
        <f t="shared" si="9"/>
        <v>50149</v>
      </c>
      <c r="O28" s="9">
        <f t="shared" si="9"/>
        <v>95678</v>
      </c>
      <c r="P28" s="9">
        <f t="shared" si="9"/>
        <v>72683</v>
      </c>
      <c r="Q28" s="9">
        <f t="shared" si="9"/>
        <v>63948</v>
      </c>
      <c r="R28" s="9">
        <f t="shared" si="9"/>
        <v>65083</v>
      </c>
      <c r="S28" s="9">
        <f>SUM(S24:S26)+S20</f>
        <v>104429</v>
      </c>
      <c r="T28" s="9">
        <f>SUM(T24:T26)+T20</f>
        <v>77457</v>
      </c>
      <c r="U28" s="9">
        <f>SUM(U24:U26)+U20</f>
        <v>63355</v>
      </c>
      <c r="V28" s="9">
        <f>SUM(V24:V26)+V20</f>
        <v>70958</v>
      </c>
      <c r="W28" s="9">
        <v>96388</v>
      </c>
      <c r="X28" s="21">
        <v>73929</v>
      </c>
      <c r="Y28" s="69">
        <f>U28*(1+AVERAGE($X$51,U51))</f>
        <v>61618.407398742303</v>
      </c>
      <c r="Z28" s="69">
        <f>V28*(1+AVERAGE($X$51,V51))</f>
        <v>72544.673957071849</v>
      </c>
      <c r="AC28" s="9"/>
      <c r="AD28" s="9"/>
      <c r="AE28" s="9">
        <f t="shared" ref="AE28:AN28" si="10">SUM(AE24:AE26)+AE20</f>
        <v>6885</v>
      </c>
      <c r="AF28" s="28">
        <f t="shared" si="10"/>
        <v>4790</v>
      </c>
      <c r="AG28" s="28">
        <f>SUM(AG24:AG26)+AG20</f>
        <v>5208</v>
      </c>
      <c r="AH28" s="28">
        <f t="shared" si="10"/>
        <v>5527</v>
      </c>
      <c r="AI28" s="28">
        <f t="shared" si="10"/>
        <v>7180</v>
      </c>
      <c r="AJ28" s="28">
        <f t="shared" si="10"/>
        <v>11941</v>
      </c>
      <c r="AK28" s="28">
        <f t="shared" si="10"/>
        <v>16151</v>
      </c>
      <c r="AL28" s="28">
        <f>SUM(AL24:AL26)+AL20</f>
        <v>20002</v>
      </c>
      <c r="AM28" s="28">
        <f t="shared" si="10"/>
        <v>31943</v>
      </c>
      <c r="AN28" s="28">
        <f t="shared" si="10"/>
        <v>36458</v>
      </c>
      <c r="AO28" s="28">
        <f>SUM(AO24:AO26)+AO20</f>
        <v>57704</v>
      </c>
      <c r="AP28" s="28">
        <f t="shared" ref="AP28:AX28" si="11">SUM(AP24:AP26)+AP20</f>
        <v>98876</v>
      </c>
      <c r="AQ28" s="28">
        <f t="shared" si="11"/>
        <v>143618</v>
      </c>
      <c r="AR28" s="28">
        <f t="shared" si="11"/>
        <v>154859</v>
      </c>
      <c r="AS28" s="28">
        <f>SUM(AS24:AS26)+AS20</f>
        <v>164732</v>
      </c>
      <c r="AT28" s="28">
        <f t="shared" si="11"/>
        <v>213806</v>
      </c>
      <c r="AU28" s="28">
        <f t="shared" si="11"/>
        <v>191291</v>
      </c>
      <c r="AV28" s="28">
        <f>SUM(AV24:AV26)+AV20</f>
        <v>199254</v>
      </c>
      <c r="AW28" s="28">
        <f>SUM(AW24:AW26)+AW20</f>
        <v>228405</v>
      </c>
      <c r="AX28" s="28">
        <f t="shared" si="11"/>
        <v>213883</v>
      </c>
      <c r="AY28" s="28">
        <f>SUM(AY24:AY26)+AY20</f>
        <v>220747</v>
      </c>
      <c r="AZ28" s="28">
        <f>SUM(AZ24:AZ26)+AZ20</f>
        <v>297392</v>
      </c>
      <c r="BA28" s="35">
        <f>SUM(BA24:BA26)+BA20</f>
        <v>316199</v>
      </c>
      <c r="BB28" s="53">
        <f t="shared" si="0"/>
        <v>304480.08135581412</v>
      </c>
      <c r="BC28" s="28">
        <f>SUM(BC24:BC26)+BC20</f>
        <v>319617.16380654933</v>
      </c>
      <c r="BD28" s="28">
        <f>SUM(BD24:BD26)+BD20</f>
        <v>335578.62845632422</v>
      </c>
      <c r="BE28" s="28">
        <f>SUM(BE24:BE26)+BE20</f>
        <v>352415.02253399108</v>
      </c>
      <c r="BF28" s="28">
        <f t="shared" ref="BD28:BS28" si="12">SUM(BF24:BF26)+BF20</f>
        <v>370180.40082902717</v>
      </c>
      <c r="BG28" s="28">
        <f t="shared" si="12"/>
        <v>388932.59539324819</v>
      </c>
      <c r="BH28" s="28">
        <f t="shared" si="12"/>
        <v>408733.50748252391</v>
      </c>
      <c r="BI28" s="28">
        <f t="shared" si="12"/>
        <v>429649.42365004116</v>
      </c>
      <c r="BJ28" s="28">
        <f t="shared" si="12"/>
        <v>451751.35807070247</v>
      </c>
      <c r="BK28" s="28">
        <f t="shared" si="12"/>
        <v>475115.42335923703</v>
      </c>
      <c r="BL28" s="28">
        <f t="shared" si="12"/>
        <v>499823.23234387883</v>
      </c>
      <c r="BM28" s="28">
        <f t="shared" si="12"/>
        <v>525962.33347447729</v>
      </c>
      <c r="BN28" s="28">
        <f t="shared" si="12"/>
        <v>553626.6827802544</v>
      </c>
      <c r="BO28" s="28">
        <f t="shared" si="12"/>
        <v>582917.15554982179</v>
      </c>
      <c r="BP28" s="28">
        <f t="shared" si="12"/>
        <v>613942.10118642601</v>
      </c>
      <c r="BQ28" s="28">
        <f t="shared" si="12"/>
        <v>646817.94499673648</v>
      </c>
      <c r="BR28" s="28">
        <f t="shared" si="12"/>
        <v>681669.84100408514</v>
      </c>
      <c r="BS28" s="28">
        <f t="shared" si="12"/>
        <v>718632.38023933838</v>
      </c>
      <c r="BX28" s="24"/>
      <c r="BZ28" s="7">
        <f>$BZ$27/$CC$22</f>
        <v>-9.3729958231440258E-2</v>
      </c>
      <c r="CA28" s="1"/>
      <c r="CB28" s="1"/>
      <c r="CC28" s="19"/>
    </row>
    <row r="29" spans="1:96" x14ac:dyDescent="0.35">
      <c r="B29" s="9" t="s">
        <v>49</v>
      </c>
      <c r="C29" s="9">
        <v>9129</v>
      </c>
      <c r="D29" s="32">
        <v>9190</v>
      </c>
      <c r="E29" s="9">
        <v>9548</v>
      </c>
      <c r="F29" s="9">
        <f>37190-E29-D29-C29</f>
        <v>9323</v>
      </c>
      <c r="G29" s="9">
        <v>10875</v>
      </c>
      <c r="H29" s="9">
        <v>11450</v>
      </c>
      <c r="I29" s="9">
        <v>11455</v>
      </c>
      <c r="J29" s="9">
        <f>46291-I29-H29-G29</f>
        <v>12511</v>
      </c>
      <c r="K29" s="9">
        <v>12715</v>
      </c>
      <c r="L29" s="9">
        <v>13348</v>
      </c>
      <c r="M29" s="9">
        <v>13156</v>
      </c>
      <c r="N29" s="9">
        <v>14549</v>
      </c>
      <c r="O29" s="9">
        <v>15761</v>
      </c>
      <c r="P29" s="9">
        <v>16901</v>
      </c>
      <c r="Q29" s="9">
        <v>17486</v>
      </c>
      <c r="R29" s="9">
        <v>18277</v>
      </c>
      <c r="S29" s="9">
        <v>19516</v>
      </c>
      <c r="T29" s="9">
        <v>19821</v>
      </c>
      <c r="U29" s="9">
        <v>19604</v>
      </c>
      <c r="V29" s="9">
        <v>19188</v>
      </c>
      <c r="W29" s="9">
        <v>20766</v>
      </c>
      <c r="X29" s="21">
        <v>20907</v>
      </c>
      <c r="Y29" s="69">
        <f>U29*(1+AVERAGE($X$52,U52))</f>
        <v>21328.327119080288</v>
      </c>
      <c r="Z29" s="69">
        <f>V29*(1+AVERAGE($X$52,V52))</f>
        <v>20191.86281888327</v>
      </c>
      <c r="AC29" s="9"/>
      <c r="AD29" s="9"/>
      <c r="AE29" s="9">
        <v>1098</v>
      </c>
      <c r="AF29" s="28">
        <f>343+230</f>
        <v>573</v>
      </c>
      <c r="AG29" s="28">
        <f>307+227</f>
        <v>534</v>
      </c>
      <c r="AH29" s="28">
        <f>644+36</f>
        <v>680</v>
      </c>
      <c r="AI29" s="28">
        <f>821+278</f>
        <v>1099</v>
      </c>
      <c r="AJ29" s="28">
        <f>899+1091</f>
        <v>1990</v>
      </c>
      <c r="AK29" s="28">
        <f>1885+1279</f>
        <v>3164</v>
      </c>
      <c r="AL29" s="28">
        <f>2496+1508</f>
        <v>4004</v>
      </c>
      <c r="AM29" s="28">
        <f>2208+3340</f>
        <v>5548</v>
      </c>
      <c r="AN29" s="28">
        <f>2411+4036</f>
        <v>6447</v>
      </c>
      <c r="AO29" s="28">
        <f>2573+4948</f>
        <v>7521</v>
      </c>
      <c r="AP29" s="28">
        <v>9373</v>
      </c>
      <c r="AQ29" s="28">
        <v>12890</v>
      </c>
      <c r="AR29" s="28">
        <v>16051</v>
      </c>
      <c r="AS29" s="28">
        <v>18063</v>
      </c>
      <c r="AT29" s="28">
        <v>19909</v>
      </c>
      <c r="AU29" s="28">
        <v>24348</v>
      </c>
      <c r="AV29" s="28">
        <v>29980</v>
      </c>
      <c r="AW29" s="27">
        <f>SUM(C29:F29)</f>
        <v>37190</v>
      </c>
      <c r="AX29" s="27">
        <f>SUM(G29:J29)</f>
        <v>46291</v>
      </c>
      <c r="AY29" s="27">
        <f>SUM(K29:N29)</f>
        <v>53768</v>
      </c>
      <c r="AZ29" s="27">
        <f>SUM(O29:R29)</f>
        <v>68425</v>
      </c>
      <c r="BA29" s="41">
        <f>SUM(S29:V29)</f>
        <v>78129</v>
      </c>
      <c r="BB29" s="53">
        <f t="shared" si="0"/>
        <v>83193.189937963558</v>
      </c>
      <c r="BC29" s="58">
        <f>BB29*IF($CC$13=1,(1+$BZ$13),IF($CC$13=2,(1+$CA$13),IF($CC$13=3,(1+$CB$13),)))</f>
        <v>92344.440831139553</v>
      </c>
      <c r="BD29" s="58">
        <f>BC29*IF($CC$13=1,(1+$BZ$13),IF($CC$13=2,(1+$CA$13),IF($CC$13=3,(1+$CB$13),)))</f>
        <v>102502.32932256491</v>
      </c>
      <c r="BE29" s="58">
        <f>BD29*IF($CC$13=1,(1+$BZ$13),IF($CC$13=2,(1+$CA$13),IF($CC$13=3,(1+$CB$13),)))</f>
        <v>113777.58554804706</v>
      </c>
      <c r="BF29" s="58">
        <f>BE29*IF($CC$13=1,(1+$BZ$13),IF($CC$13=2,(1+$CA$13),IF($CC$13=3,(1+$CB$13),)))</f>
        <v>126293.11995833225</v>
      </c>
      <c r="BG29" s="58">
        <f>BF29*IF($CC$13=1,(1+$BZ$13),IF($CC$13=2,(1+$CA$13),IF($CC$13=3,(1+$CB$13),)))</f>
        <v>140185.3631537488</v>
      </c>
      <c r="BH29" s="58">
        <f>BG29*IF($CC$13=1,(1+$BZ$13),IF($CC$13=2,(1+$CA$13),IF($CC$13=3,(1+$CB$13),)))</f>
        <v>155605.75310066118</v>
      </c>
      <c r="BI29" s="58">
        <f>BH29*IF($CC$13=1,(1+$BZ$13),IF($CC$13=2,(1+$CA$13),IF($CC$13=3,(1+$CB$13),)))</f>
        <v>172722.38594173393</v>
      </c>
      <c r="BJ29" s="58">
        <f>BI29*IF($CC$13=1,(1+$BZ$13),IF($CC$13=2,(1+$CA$13),IF($CC$13=3,(1+$CB$13),)))</f>
        <v>191721.84839532466</v>
      </c>
      <c r="BK29" s="58">
        <f>BJ29*IF($CC$13=1,(1+$BZ$13),IF($CC$13=2,(1+$CA$13),IF($CC$13=3,(1+$CB$13),)))</f>
        <v>212811.25171881038</v>
      </c>
      <c r="BL29" s="58">
        <f>BK29*IF($CC$13=1,(1+$BZ$13),IF($CC$13=2,(1+$CA$13),IF($CC$13=3,(1+$CB$13),)))</f>
        <v>236220.48940787953</v>
      </c>
      <c r="BM29" s="58">
        <f>BL29*IF($CC$13=1,(1+$BZ$13),IF($CC$13=2,(1+$CA$13),IF($CC$13=3,(1+$CB$13),)))</f>
        <v>262204.74324274628</v>
      </c>
      <c r="BN29" s="58">
        <f>BM29*IF($CC$13=1,(1+$BZ$13),IF($CC$13=2,(1+$CA$13),IF($CC$13=3,(1+$CB$13),)))</f>
        <v>291047.26499944838</v>
      </c>
      <c r="BO29" s="58">
        <f>BN29*IF($CC$13=1,(1+$BZ$13),IF($CC$13=2,(1+$CA$13),IF($CC$13=3,(1+$CB$13),)))</f>
        <v>323062.46414938773</v>
      </c>
      <c r="BP29" s="58">
        <f>BO29*IF($CC$13=1,(1+$BZ$13),IF($CC$13=2,(1+$CA$13),IF($CC$13=3,(1+$CB$13),)))</f>
        <v>358599.33520582039</v>
      </c>
      <c r="BQ29" s="58">
        <f>BP29*IF($CC$13=1,(1+$BZ$13),IF($CC$13=2,(1+$CA$13),IF($CC$13=3,(1+$CB$13),)))</f>
        <v>398045.26207846066</v>
      </c>
      <c r="BR29" s="58">
        <f>BQ29*IF($CC$13=1,(1+$BZ$13),IF($CC$13=2,(1+$CA$13),IF($CC$13=3,(1+$CB$13),)))</f>
        <v>441830.24090709136</v>
      </c>
      <c r="BS29" s="58">
        <f>BR29*IF($CC$13=1,(1+$BZ$13),IF($CC$13=2,(1+$CA$13),IF($CC$13=3,(1+$CB$13),)))</f>
        <v>490431.56740687147</v>
      </c>
      <c r="BY29" s="68"/>
      <c r="BZ29" s="68"/>
      <c r="CA29" s="68"/>
      <c r="CB29" s="68"/>
      <c r="CC29" s="68"/>
    </row>
    <row r="30" spans="1:96" x14ac:dyDescent="0.35">
      <c r="B30" s="10" t="s">
        <v>50</v>
      </c>
      <c r="C30" s="10">
        <f t="shared" ref="C30:F30" si="13">+C28+C29</f>
        <v>88293</v>
      </c>
      <c r="D30" s="33">
        <f t="shared" si="13"/>
        <v>61137</v>
      </c>
      <c r="E30" s="10">
        <f t="shared" si="13"/>
        <v>53265</v>
      </c>
      <c r="F30" s="10">
        <f>+F28+F29</f>
        <v>62900</v>
      </c>
      <c r="G30" s="10">
        <f>SUM(G28:G29)</f>
        <v>84310</v>
      </c>
      <c r="H30" s="10">
        <f>SUM(H28:H29)</f>
        <v>58015</v>
      </c>
      <c r="I30" s="10">
        <f>SUM(I28:I29)</f>
        <v>53809</v>
      </c>
      <c r="J30" s="10">
        <f>SUM(J28:J29)</f>
        <v>64040</v>
      </c>
      <c r="K30" s="10">
        <f t="shared" ref="K30:N30" si="14">+K28+K29</f>
        <v>91819</v>
      </c>
      <c r="L30" s="10">
        <f t="shared" si="14"/>
        <v>58313</v>
      </c>
      <c r="M30" s="10">
        <f t="shared" si="14"/>
        <v>59685</v>
      </c>
      <c r="N30" s="10">
        <f t="shared" si="14"/>
        <v>64698</v>
      </c>
      <c r="O30" s="10">
        <f>+O28+O29</f>
        <v>111439</v>
      </c>
      <c r="P30" s="10">
        <f>+P28+P29</f>
        <v>89584</v>
      </c>
      <c r="Q30" s="10">
        <f>+Q28+Q29</f>
        <v>81434</v>
      </c>
      <c r="R30" s="10">
        <f t="shared" ref="R30:S30" si="15">+R28+R29</f>
        <v>83360</v>
      </c>
      <c r="S30" s="10">
        <f t="shared" si="15"/>
        <v>123945</v>
      </c>
      <c r="T30" s="10">
        <f>+T28+T29</f>
        <v>97278</v>
      </c>
      <c r="U30" s="10">
        <f t="shared" ref="U30" si="16">+U28+U29</f>
        <v>82959</v>
      </c>
      <c r="V30" s="10">
        <f>+V28+V29</f>
        <v>90146</v>
      </c>
      <c r="W30" s="10">
        <f>+W29+W28</f>
        <v>117154</v>
      </c>
      <c r="X30" s="22">
        <f>+X29+X28</f>
        <v>94836</v>
      </c>
      <c r="Y30" s="36">
        <f>SUM(Y28:Y29)</f>
        <v>82946.734517822595</v>
      </c>
      <c r="Z30" s="36">
        <f>SUM(Z28:Z29)</f>
        <v>92736.536775955115</v>
      </c>
      <c r="AC30" s="10">
        <v>5941</v>
      </c>
      <c r="AD30" s="10">
        <v>6134</v>
      </c>
      <c r="AE30" s="10">
        <f>+AE28+AE29</f>
        <v>7983</v>
      </c>
      <c r="AF30" s="42">
        <f t="shared" ref="AF30:AX30" si="17">+AF28+AF29</f>
        <v>5363</v>
      </c>
      <c r="AG30" s="42">
        <f t="shared" si="17"/>
        <v>5742</v>
      </c>
      <c r="AH30" s="42">
        <f t="shared" si="17"/>
        <v>6207</v>
      </c>
      <c r="AI30" s="42">
        <f t="shared" si="17"/>
        <v>8279</v>
      </c>
      <c r="AJ30" s="42">
        <f t="shared" si="17"/>
        <v>13931</v>
      </c>
      <c r="AK30" s="42">
        <f t="shared" si="17"/>
        <v>19315</v>
      </c>
      <c r="AL30" s="42">
        <v>24006</v>
      </c>
      <c r="AM30" s="42">
        <f t="shared" si="17"/>
        <v>37491</v>
      </c>
      <c r="AN30" s="42">
        <f t="shared" si="17"/>
        <v>42905</v>
      </c>
      <c r="AO30" s="42">
        <f t="shared" si="17"/>
        <v>65225</v>
      </c>
      <c r="AP30" s="42">
        <f t="shared" si="17"/>
        <v>108249</v>
      </c>
      <c r="AQ30" s="42">
        <f t="shared" si="17"/>
        <v>156508</v>
      </c>
      <c r="AR30" s="42">
        <f t="shared" si="17"/>
        <v>170910</v>
      </c>
      <c r="AS30" s="42">
        <f t="shared" si="17"/>
        <v>182795</v>
      </c>
      <c r="AT30" s="42">
        <f t="shared" si="17"/>
        <v>233715</v>
      </c>
      <c r="AU30" s="42">
        <f t="shared" si="17"/>
        <v>215639</v>
      </c>
      <c r="AV30" s="42">
        <f t="shared" si="17"/>
        <v>229234</v>
      </c>
      <c r="AW30" s="42">
        <f>+AW28+AW29</f>
        <v>265595</v>
      </c>
      <c r="AX30" s="42">
        <f t="shared" si="17"/>
        <v>260174</v>
      </c>
      <c r="AY30" s="42">
        <f>+AY28+AY29</f>
        <v>274515</v>
      </c>
      <c r="AZ30" s="42">
        <f>+AZ28+AZ29</f>
        <v>365817</v>
      </c>
      <c r="BA30" s="43">
        <f>+BA28+BA29</f>
        <v>394328</v>
      </c>
      <c r="BB30" s="54">
        <f t="shared" si="0"/>
        <v>387673.27129377774</v>
      </c>
      <c r="BC30" s="28">
        <f>SUM(BC28:BC29)</f>
        <v>411961.6046376889</v>
      </c>
      <c r="BD30" s="28">
        <f t="shared" ref="BD30:BS30" si="18">SUM(BD28:BD29)</f>
        <v>438080.9577788891</v>
      </c>
      <c r="BE30" s="28">
        <f t="shared" si="18"/>
        <v>466192.60808203812</v>
      </c>
      <c r="BF30" s="28">
        <f t="shared" si="18"/>
        <v>496473.52078735945</v>
      </c>
      <c r="BG30" s="28">
        <f t="shared" si="18"/>
        <v>529117.95854699705</v>
      </c>
      <c r="BH30" s="28">
        <f t="shared" si="18"/>
        <v>564339.26058318513</v>
      </c>
      <c r="BI30" s="28">
        <f t="shared" si="18"/>
        <v>602371.80959177506</v>
      </c>
      <c r="BJ30" s="28">
        <f t="shared" si="18"/>
        <v>643473.20646602707</v>
      </c>
      <c r="BK30" s="28">
        <f t="shared" si="18"/>
        <v>687926.67507804744</v>
      </c>
      <c r="BL30" s="28">
        <f t="shared" si="18"/>
        <v>736043.72175175836</v>
      </c>
      <c r="BM30" s="28">
        <f t="shared" si="18"/>
        <v>788167.07671722351</v>
      </c>
      <c r="BN30" s="28">
        <f t="shared" si="18"/>
        <v>844673.94777970272</v>
      </c>
      <c r="BO30" s="28">
        <f t="shared" si="18"/>
        <v>905979.61969920946</v>
      </c>
      <c r="BP30" s="28">
        <f t="shared" si="18"/>
        <v>972541.4363922464</v>
      </c>
      <c r="BQ30" s="28">
        <f t="shared" si="18"/>
        <v>1044863.2070751971</v>
      </c>
      <c r="BR30" s="28">
        <f t="shared" si="18"/>
        <v>1123500.0819111764</v>
      </c>
      <c r="BS30" s="28">
        <f t="shared" si="18"/>
        <v>1209063.94764621</v>
      </c>
    </row>
    <row r="31" spans="1:96" x14ac:dyDescent="0.35">
      <c r="B31" s="9" t="s">
        <v>51</v>
      </c>
      <c r="C31" s="9"/>
      <c r="D31" s="32">
        <v>33936</v>
      </c>
      <c r="E31" s="9">
        <v>28956</v>
      </c>
      <c r="F31" s="9"/>
      <c r="G31" s="9">
        <v>48238</v>
      </c>
      <c r="H31" s="9">
        <v>32047</v>
      </c>
      <c r="I31" s="9">
        <v>29473</v>
      </c>
      <c r="J31" s="9">
        <f>144996-I31-H31-G31</f>
        <v>35238</v>
      </c>
      <c r="K31" s="9">
        <v>52075</v>
      </c>
      <c r="L31" s="9">
        <v>31321</v>
      </c>
      <c r="M31" s="9">
        <v>32693</v>
      </c>
      <c r="N31" s="9">
        <v>35197</v>
      </c>
      <c r="O31" s="9">
        <v>62130</v>
      </c>
      <c r="P31" s="9">
        <v>46447</v>
      </c>
      <c r="Q31" s="9">
        <v>40899</v>
      </c>
      <c r="R31" s="9">
        <v>42790</v>
      </c>
      <c r="S31" s="9">
        <v>64309</v>
      </c>
      <c r="T31" s="9">
        <v>49290</v>
      </c>
      <c r="U31" s="9">
        <v>41485</v>
      </c>
      <c r="V31" s="9">
        <v>46387</v>
      </c>
      <c r="W31" s="9">
        <v>60765</v>
      </c>
      <c r="X31" s="21">
        <v>46795</v>
      </c>
      <c r="Y31" s="28">
        <f>Y28*(1-Y57)</f>
        <v>38924.131527642967</v>
      </c>
      <c r="Z31" s="28">
        <f>Z28*(1-Z57)</f>
        <v>45872.487933921533</v>
      </c>
      <c r="AC31" s="9"/>
      <c r="AD31" s="9"/>
      <c r="AE31" s="9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7">
        <v>148164</v>
      </c>
      <c r="AX31" s="27">
        <v>144996</v>
      </c>
      <c r="AY31" s="27">
        <f>SUM(K31:N31)</f>
        <v>151286</v>
      </c>
      <c r="AZ31" s="27">
        <f>SUM(O31:R31)</f>
        <v>192266</v>
      </c>
      <c r="BA31" s="41">
        <f>SUM(S31:V31)</f>
        <v>201471</v>
      </c>
      <c r="BB31" s="53">
        <f t="shared" si="0"/>
        <v>192356.61946156449</v>
      </c>
      <c r="BC31" s="28">
        <f>BC28-(IF($CC$15=1,BC28*$BZ$15,IF($CC$15=2,BC28*$CA$15,IF($CC$15=3,BC28*$CB$15))))</f>
        <v>210947.32811232255</v>
      </c>
      <c r="BD31" s="28">
        <f>BD28-(IF($CC$15=1,BD28*$BZ$15,IF($CC$15=2,BD28*$CA$15,IF($CC$15=3,BD28*$CB$15))))</f>
        <v>221481.89478117396</v>
      </c>
      <c r="BE31" s="28">
        <f>BE28-(IF($CC$15=1,BE28*$BZ$15,IF($CC$15=2,BE28*$CA$15,IF($CC$15=3,BE28*$CB$15))))</f>
        <v>232593.91487243411</v>
      </c>
      <c r="BF31" s="28">
        <f>BF28-(IF($CC$15=1,BF28*$BZ$15,IF($CC$15=2,BF28*$CA$15,IF($CC$15=3,BF28*$CB$15))))</f>
        <v>244319.0645471579</v>
      </c>
      <c r="BG31" s="28">
        <f>BG28-(IF($CC$15=1,BG28*$BZ$15,IF($CC$15=2,BG28*$CA$15,IF($CC$15=3,BG28*$CB$15))))</f>
        <v>256695.51295954379</v>
      </c>
      <c r="BH31" s="28">
        <f>BH28-(IF($CC$15=1,BH28*$BZ$15,IF($CC$15=2,BH28*$CA$15,IF($CC$15=3,BH28*$CB$15))))</f>
        <v>269764.11493846576</v>
      </c>
      <c r="BI31" s="28">
        <f>BI28-(IF($CC$15=1,BI28*$BZ$15,IF($CC$15=2,BI28*$CA$15,IF($CC$15=3,BI28*$CB$15))))</f>
        <v>283568.61960902717</v>
      </c>
      <c r="BJ31" s="28">
        <f>BJ28-(IF($CC$15=1,BJ28*$BZ$15,IF($CC$15=2,BJ28*$CA$15,IF($CC$15=3,BJ28*$CB$15))))</f>
        <v>298155.89632666361</v>
      </c>
      <c r="BK31" s="28">
        <f>BK28-(IF($CC$15=1,BK28*$BZ$15,IF($CC$15=2,BK28*$CA$15,IF($CC$15=3,BK28*$CB$15))))</f>
        <v>313576.17941709643</v>
      </c>
      <c r="BL31" s="28">
        <f>BL28-(IF($CC$15=1,BL28*$BZ$15,IF($CC$15=2,BL28*$CA$15,IF($CC$15=3,BL28*$CB$15))))</f>
        <v>329883.33334696002</v>
      </c>
      <c r="BM31" s="28">
        <f>BM28-(IF($CC$15=1,BM28*$BZ$15,IF($CC$15=2,BM28*$CA$15,IF($CC$15=3,BM28*$CB$15))))</f>
        <v>347135.14009315497</v>
      </c>
      <c r="BN31" s="28">
        <f>BN28-(IF($CC$15=1,BN28*$BZ$15,IF($CC$15=2,BN28*$CA$15,IF($CC$15=3,BN28*$CB$15))))</f>
        <v>365393.61063496792</v>
      </c>
      <c r="BO31" s="28">
        <f>BO28-(IF($CC$15=1,BO28*$BZ$15,IF($CC$15=2,BO28*$CA$15,IF($CC$15=3,BO28*$CB$15))))</f>
        <v>384725.32266288239</v>
      </c>
      <c r="BP31" s="28">
        <f>BP28-(IF($CC$15=1,BP28*$BZ$15,IF($CC$15=2,BP28*$CA$15,IF($CC$15=3,BP28*$CB$15))))</f>
        <v>405201.78678304114</v>
      </c>
      <c r="BQ31" s="28">
        <f>BQ28-(IF($CC$15=1,BQ28*$BZ$15,IF($CC$15=2,BQ28*$CA$15,IF($CC$15=3,BQ28*$CB$15))))</f>
        <v>426899.84369784605</v>
      </c>
      <c r="BR31" s="28">
        <f>BR28-(IF($CC$15=1,BR28*$BZ$15,IF($CC$15=2,BR28*$CA$15,IF($CC$15=3,BR28*$CB$15))))</f>
        <v>449902.09506269614</v>
      </c>
      <c r="BS31" s="28">
        <f>BS28-(IF($CC$15=1,BS28*$BZ$15,IF($CC$15=2,BS28*$CA$15,IF($CC$15=3,BS28*$CB$15))))</f>
        <v>474297.37095796329</v>
      </c>
    </row>
    <row r="32" spans="1:96" x14ac:dyDescent="0.35">
      <c r="B32" s="9" t="s">
        <v>52</v>
      </c>
      <c r="C32" s="9"/>
      <c r="D32" s="9">
        <v>3779</v>
      </c>
      <c r="E32" s="9">
        <v>3888</v>
      </c>
      <c r="F32" s="9"/>
      <c r="G32" s="9">
        <v>4041</v>
      </c>
      <c r="H32" s="9">
        <v>4147</v>
      </c>
      <c r="I32" s="9">
        <v>4109</v>
      </c>
      <c r="J32" s="9">
        <f>16786-I32-H32-G32</f>
        <v>4489</v>
      </c>
      <c r="K32" s="9">
        <v>4527</v>
      </c>
      <c r="L32" s="9">
        <v>4622</v>
      </c>
      <c r="M32" s="9">
        <v>4312</v>
      </c>
      <c r="N32" s="9">
        <v>4812</v>
      </c>
      <c r="O32" s="9">
        <v>4981</v>
      </c>
      <c r="P32" s="9">
        <v>5058</v>
      </c>
      <c r="Q32" s="9">
        <v>5280</v>
      </c>
      <c r="R32" s="9">
        <v>5396</v>
      </c>
      <c r="S32" s="9">
        <v>5393</v>
      </c>
      <c r="T32" s="9">
        <v>5429</v>
      </c>
      <c r="U32" s="9">
        <v>5589</v>
      </c>
      <c r="V32" s="9">
        <v>5664</v>
      </c>
      <c r="W32" s="9">
        <v>6057</v>
      </c>
      <c r="X32" s="21">
        <v>6065</v>
      </c>
      <c r="Y32" s="28">
        <f>Y29*(1-Y56)</f>
        <v>6204.1217055246098</v>
      </c>
      <c r="Z32" s="28">
        <f>Z29*(1-Z56)</f>
        <v>5865.5412268306527</v>
      </c>
      <c r="AC32" s="9"/>
      <c r="AD32" s="9"/>
      <c r="AE32" s="9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7">
        <v>15592</v>
      </c>
      <c r="AX32" s="27">
        <v>16786</v>
      </c>
      <c r="AY32" s="27">
        <f>SUM(K32:N32)</f>
        <v>18273</v>
      </c>
      <c r="AZ32" s="27">
        <f>SUM(O32:R32)</f>
        <v>20715</v>
      </c>
      <c r="BA32" s="41">
        <f>SUM(S32:V32)</f>
        <v>22075</v>
      </c>
      <c r="BB32" s="53">
        <f t="shared" si="0"/>
        <v>24191.662932355262</v>
      </c>
      <c r="BC32" s="28">
        <f>BC29-(IF($CC$14=1,BC29*$BZ$14,IF($CC$14=2,BC29*$CA$14,IF($CC$14=3,BC29*$CB$14))))</f>
        <v>28626.776657653267</v>
      </c>
      <c r="BD32" s="28">
        <f>BD29-(IF($CC$14=1,BD29*$BZ$14,IF($CC$14=2,BD29*$CA$14,IF($CC$14=3,BD29*$CB$14))))</f>
        <v>31775.722089995121</v>
      </c>
      <c r="BE32" s="28">
        <f>BE29-(IF($CC$14=1,BE29*$BZ$14,IF($CC$14=2,BE29*$CA$14,IF($CC$14=3,BE29*$CB$14))))</f>
        <v>35271.051519894594</v>
      </c>
      <c r="BF32" s="28">
        <f>BF29-(IF($CC$14=1,BF29*$BZ$14,IF($CC$14=2,BF29*$CA$14,IF($CC$14=3,BF29*$CB$14))))</f>
        <v>39150.867187083</v>
      </c>
      <c r="BG32" s="28">
        <f>BG29-(IF($CC$14=1,BG29*$BZ$14,IF($CC$14=2,BG29*$CA$14,IF($CC$14=3,BG29*$CB$14))))</f>
        <v>43457.46257766214</v>
      </c>
      <c r="BH32" s="28">
        <f>BH29-(IF($CC$14=1,BH29*$BZ$14,IF($CC$14=2,BH29*$CA$14,IF($CC$14=3,BH29*$CB$14))))</f>
        <v>48237.783461204977</v>
      </c>
      <c r="BI32" s="28">
        <f>BI29-(IF($CC$14=1,BI29*$BZ$14,IF($CC$14=2,BI29*$CA$14,IF($CC$14=3,BI29*$CB$14))))</f>
        <v>53543.939641937526</v>
      </c>
      <c r="BJ32" s="28">
        <f>BJ29-(IF($CC$14=1,BJ29*$BZ$14,IF($CC$14=2,BJ29*$CA$14,IF($CC$14=3,BJ29*$CB$14))))</f>
        <v>59433.773002550646</v>
      </c>
      <c r="BK32" s="28">
        <f>BK29-(IF($CC$14=1,BK29*$BZ$14,IF($CC$14=2,BK29*$CA$14,IF($CC$14=3,BK29*$CB$14))))</f>
        <v>65971.488032831228</v>
      </c>
      <c r="BL32" s="28">
        <f>BL29-(IF($CC$14=1,BL29*$BZ$14,IF($CC$14=2,BL29*$CA$14,IF($CC$14=3,BL29*$CB$14))))</f>
        <v>73228.351716442674</v>
      </c>
      <c r="BM32" s="28">
        <f>BM29-(IF($CC$14=1,BM29*$BZ$14,IF($CC$14=2,BM29*$CA$14,IF($CC$14=3,BM29*$CB$14))))</f>
        <v>81283.47040525137</v>
      </c>
      <c r="BN32" s="28">
        <f>BN29-(IF($CC$14=1,BN29*$BZ$14,IF($CC$14=2,BN29*$CA$14,IF($CC$14=3,BN29*$CB$14))))</f>
        <v>90224.652149829024</v>
      </c>
      <c r="BO32" s="28">
        <f>BO29-(IF($CC$14=1,BO29*$BZ$14,IF($CC$14=2,BO29*$CA$14,IF($CC$14=3,BO29*$CB$14))))</f>
        <v>100149.36388631022</v>
      </c>
      <c r="BP32" s="28">
        <f>BP29-(IF($CC$14=1,BP29*$BZ$14,IF($CC$14=2,BP29*$CA$14,IF($CC$14=3,BP29*$CB$14))))</f>
        <v>111165.79391380434</v>
      </c>
      <c r="BQ32" s="28">
        <f>BQ29-(IF($CC$14=1,BQ29*$BZ$14,IF($CC$14=2,BQ29*$CA$14,IF($CC$14=3,BQ29*$CB$14))))</f>
        <v>123394.03124432283</v>
      </c>
      <c r="BR32" s="28">
        <f>BR29-(IF($CC$14=1,BR29*$BZ$14,IF($CC$14=2,BR29*$CA$14,IF($CC$14=3,BR29*$CB$14))))</f>
        <v>136967.37468119833</v>
      </c>
      <c r="BS32" s="28">
        <f>BS29-(IF($CC$14=1,BS29*$BZ$14,IF($CC$14=2,BS29*$CA$14,IF($CC$14=3,BS29*$CB$14))))</f>
        <v>152033.7858961302</v>
      </c>
    </row>
    <row r="33" spans="1:162" x14ac:dyDescent="0.35">
      <c r="B33" s="9" t="s">
        <v>53</v>
      </c>
      <c r="C33" s="9">
        <v>54381</v>
      </c>
      <c r="D33" s="9">
        <v>37715</v>
      </c>
      <c r="E33" s="9">
        <f>SUM(E31:E32)</f>
        <v>32844</v>
      </c>
      <c r="F33" s="9">
        <f>163756-E33-D33-C33</f>
        <v>38816</v>
      </c>
      <c r="G33" s="9">
        <f>SUM(G31:G32)</f>
        <v>52279</v>
      </c>
      <c r="H33" s="9">
        <f>SUM(H31:H32)</f>
        <v>36194</v>
      </c>
      <c r="I33" s="9">
        <f>SUM(I31:I32)</f>
        <v>33582</v>
      </c>
      <c r="J33" s="9">
        <f>SUM(J31:J32)</f>
        <v>39727</v>
      </c>
      <c r="K33" s="9">
        <f>+K31+K32</f>
        <v>56602</v>
      </c>
      <c r="L33" s="9">
        <f t="shared" ref="K33:N33" si="19">+L31+L32</f>
        <v>35943</v>
      </c>
      <c r="M33" s="9">
        <f t="shared" si="19"/>
        <v>37005</v>
      </c>
      <c r="N33" s="9">
        <f t="shared" si="19"/>
        <v>40009</v>
      </c>
      <c r="O33" s="9">
        <f>+O31+O32</f>
        <v>67111</v>
      </c>
      <c r="P33" s="9">
        <f>+P31+P32</f>
        <v>51505</v>
      </c>
      <c r="Q33" s="9">
        <f>+Q31+Q32</f>
        <v>46179</v>
      </c>
      <c r="R33" s="9">
        <f t="shared" ref="R33:S33" si="20">+R31+R32</f>
        <v>48186</v>
      </c>
      <c r="S33" s="9">
        <f t="shared" si="20"/>
        <v>69702</v>
      </c>
      <c r="T33" s="9">
        <f>+T31+T32</f>
        <v>54719</v>
      </c>
      <c r="U33" s="9">
        <f t="shared" ref="U33:V33" si="21">+U31+U32</f>
        <v>47074</v>
      </c>
      <c r="V33" s="9">
        <f t="shared" si="21"/>
        <v>52051</v>
      </c>
      <c r="W33" s="9">
        <f>+W31+W32</f>
        <v>66822</v>
      </c>
      <c r="X33" s="21">
        <f>+X31+X32</f>
        <v>52860</v>
      </c>
      <c r="Y33" s="28">
        <f>SUM(Y31:Y32)</f>
        <v>45128.253233167576</v>
      </c>
      <c r="Z33" s="28">
        <f>SUM(Z31:Z32)</f>
        <v>51738.029160752187</v>
      </c>
      <c r="AC33" s="9"/>
      <c r="AD33" s="9"/>
      <c r="AE33" s="9">
        <v>5817</v>
      </c>
      <c r="AF33" s="28">
        <v>4128</v>
      </c>
      <c r="AG33" s="28">
        <v>4139</v>
      </c>
      <c r="AH33" s="28">
        <v>4499</v>
      </c>
      <c r="AI33" s="28">
        <v>6020</v>
      </c>
      <c r="AJ33" s="28">
        <v>9888</v>
      </c>
      <c r="AK33" s="28">
        <v>13717</v>
      </c>
      <c r="AL33" s="28">
        <v>15852</v>
      </c>
      <c r="AM33" s="28">
        <v>24294</v>
      </c>
      <c r="AN33" s="28">
        <v>25683</v>
      </c>
      <c r="AO33" s="28">
        <v>39541</v>
      </c>
      <c r="AP33" s="28">
        <v>64431</v>
      </c>
      <c r="AQ33" s="28">
        <v>87846</v>
      </c>
      <c r="AR33" s="28">
        <v>106606</v>
      </c>
      <c r="AS33" s="28">
        <v>112258</v>
      </c>
      <c r="AT33" s="28">
        <v>140089</v>
      </c>
      <c r="AU33" s="28">
        <v>131376</v>
      </c>
      <c r="AV33" s="28">
        <v>141048</v>
      </c>
      <c r="AW33" s="28">
        <f>+AW31+AW32</f>
        <v>163756</v>
      </c>
      <c r="AX33" s="28">
        <f>+AX31+AX32</f>
        <v>161782</v>
      </c>
      <c r="AY33" s="28">
        <f>+AY31+AY32</f>
        <v>169559</v>
      </c>
      <c r="AZ33" s="28">
        <f>+AZ31+AZ32</f>
        <v>212981</v>
      </c>
      <c r="BA33" s="35">
        <f>+BA31+BA32</f>
        <v>223546</v>
      </c>
      <c r="BB33" s="53">
        <f t="shared" si="0"/>
        <v>216548.28239391977</v>
      </c>
      <c r="BC33" s="9">
        <f>SUM(BC31:BC32)</f>
        <v>239574.10476997582</v>
      </c>
      <c r="BD33" s="9">
        <f t="shared" ref="BD33:BS33" si="22">SUM(BD31:BD32)</f>
        <v>253257.61687116907</v>
      </c>
      <c r="BE33" s="9">
        <f t="shared" si="22"/>
        <v>267864.96639232873</v>
      </c>
      <c r="BF33" s="9">
        <f t="shared" si="22"/>
        <v>283469.9317342409</v>
      </c>
      <c r="BG33" s="9">
        <f t="shared" si="22"/>
        <v>300152.97553720593</v>
      </c>
      <c r="BH33" s="9">
        <f t="shared" si="22"/>
        <v>318001.89839967072</v>
      </c>
      <c r="BI33" s="9">
        <f t="shared" si="22"/>
        <v>337112.55925096467</v>
      </c>
      <c r="BJ33" s="9">
        <f t="shared" si="22"/>
        <v>357589.66932921426</v>
      </c>
      <c r="BK33" s="9">
        <f t="shared" si="22"/>
        <v>379547.66744992766</v>
      </c>
      <c r="BL33" s="9">
        <f t="shared" si="22"/>
        <v>403111.68506340269</v>
      </c>
      <c r="BM33" s="9">
        <f t="shared" si="22"/>
        <v>428418.61049840634</v>
      </c>
      <c r="BN33" s="9">
        <f t="shared" si="22"/>
        <v>455618.26278479694</v>
      </c>
      <c r="BO33" s="9">
        <f t="shared" si="22"/>
        <v>484874.68654919264</v>
      </c>
      <c r="BP33" s="9">
        <f t="shared" si="22"/>
        <v>516367.58069684549</v>
      </c>
      <c r="BQ33" s="9">
        <f t="shared" si="22"/>
        <v>550293.87494216883</v>
      </c>
      <c r="BR33" s="9">
        <f t="shared" si="22"/>
        <v>586869.46974389441</v>
      </c>
      <c r="BS33" s="9">
        <f t="shared" si="22"/>
        <v>626331.15685409354</v>
      </c>
    </row>
    <row r="34" spans="1:162" x14ac:dyDescent="0.35">
      <c r="B34" s="9" t="s">
        <v>54</v>
      </c>
      <c r="C34" s="9">
        <f t="shared" ref="C34:F34" si="23">+C30-C33</f>
        <v>33912</v>
      </c>
      <c r="D34" s="9">
        <f t="shared" si="23"/>
        <v>23422</v>
      </c>
      <c r="E34" s="9">
        <f t="shared" si="23"/>
        <v>20421</v>
      </c>
      <c r="F34" s="9">
        <f t="shared" si="23"/>
        <v>24084</v>
      </c>
      <c r="G34" s="9">
        <f>G30-G33</f>
        <v>32031</v>
      </c>
      <c r="H34" s="9">
        <f>H30-H33</f>
        <v>21821</v>
      </c>
      <c r="I34" s="9">
        <f>I30-I33</f>
        <v>20227</v>
      </c>
      <c r="J34" s="9">
        <f>J30-J33</f>
        <v>24313</v>
      </c>
      <c r="K34" s="9">
        <f t="shared" ref="K34:N34" si="24">+K30-K33</f>
        <v>35217</v>
      </c>
      <c r="L34" s="9">
        <f t="shared" si="24"/>
        <v>22370</v>
      </c>
      <c r="M34" s="9">
        <f>+M30-M33</f>
        <v>22680</v>
      </c>
      <c r="N34" s="9">
        <f t="shared" si="24"/>
        <v>24689</v>
      </c>
      <c r="O34" s="9">
        <f>+O30-O33</f>
        <v>44328</v>
      </c>
      <c r="P34" s="9">
        <f>+P30-P33</f>
        <v>38079</v>
      </c>
      <c r="Q34" s="9">
        <f>+Q30-Q33</f>
        <v>35255</v>
      </c>
      <c r="R34" s="9">
        <f t="shared" ref="R34:S34" si="25">+R30-R33</f>
        <v>35174</v>
      </c>
      <c r="S34" s="9">
        <f t="shared" si="25"/>
        <v>54243</v>
      </c>
      <c r="T34" s="9">
        <f>+T30-T33</f>
        <v>42559</v>
      </c>
      <c r="U34" s="9">
        <f t="shared" ref="U34:V34" si="26">+U30-U33</f>
        <v>35885</v>
      </c>
      <c r="V34" s="9">
        <f t="shared" si="26"/>
        <v>38095</v>
      </c>
      <c r="W34" s="9">
        <f>+W30-W33</f>
        <v>50332</v>
      </c>
      <c r="X34" s="21">
        <f>+X30-X33</f>
        <v>41976</v>
      </c>
      <c r="Y34" s="28">
        <f>Y30-Y33</f>
        <v>37818.481284655019</v>
      </c>
      <c r="Z34" s="28">
        <f>Z30-Z33</f>
        <v>40998.507615202929</v>
      </c>
      <c r="AC34" s="9"/>
      <c r="AD34" s="9"/>
      <c r="AE34" s="9">
        <f t="shared" ref="AE34:AF34" si="27">+AE30-AE33</f>
        <v>2166</v>
      </c>
      <c r="AF34" s="28">
        <f t="shared" si="27"/>
        <v>1235</v>
      </c>
      <c r="AG34" s="28">
        <f>+AG30-AG33</f>
        <v>1603</v>
      </c>
      <c r="AH34" s="28">
        <f t="shared" ref="AH34:AX34" si="28">+AH30-AH33</f>
        <v>1708</v>
      </c>
      <c r="AI34" s="28">
        <f t="shared" si="28"/>
        <v>2259</v>
      </c>
      <c r="AJ34" s="28">
        <f t="shared" si="28"/>
        <v>4043</v>
      </c>
      <c r="AK34" s="28">
        <f t="shared" si="28"/>
        <v>5598</v>
      </c>
      <c r="AL34" s="28">
        <f t="shared" si="28"/>
        <v>8154</v>
      </c>
      <c r="AM34" s="28">
        <f t="shared" si="28"/>
        <v>13197</v>
      </c>
      <c r="AN34" s="28">
        <f t="shared" si="28"/>
        <v>17222</v>
      </c>
      <c r="AO34" s="28">
        <f t="shared" si="28"/>
        <v>25684</v>
      </c>
      <c r="AP34" s="28">
        <f t="shared" si="28"/>
        <v>43818</v>
      </c>
      <c r="AQ34" s="28">
        <f t="shared" si="28"/>
        <v>68662</v>
      </c>
      <c r="AR34" s="28">
        <f t="shared" si="28"/>
        <v>64304</v>
      </c>
      <c r="AS34" s="28">
        <f t="shared" si="28"/>
        <v>70537</v>
      </c>
      <c r="AT34" s="28">
        <f t="shared" si="28"/>
        <v>93626</v>
      </c>
      <c r="AU34" s="28">
        <f t="shared" si="28"/>
        <v>84263</v>
      </c>
      <c r="AV34" s="28">
        <f t="shared" si="28"/>
        <v>88186</v>
      </c>
      <c r="AW34" s="28">
        <f>+AW30-AW33</f>
        <v>101839</v>
      </c>
      <c r="AX34" s="28">
        <f t="shared" si="28"/>
        <v>98392</v>
      </c>
      <c r="AY34" s="28">
        <f>+AY30-AY33</f>
        <v>104956</v>
      </c>
      <c r="AZ34" s="28">
        <f>+AZ30-AZ33</f>
        <v>152836</v>
      </c>
      <c r="BA34" s="35">
        <f>+BA30-BA33</f>
        <v>170782</v>
      </c>
      <c r="BB34" s="53">
        <f t="shared" si="0"/>
        <v>171124.98889985794</v>
      </c>
      <c r="BC34" s="28">
        <f>BC30-BC33</f>
        <v>172387.49986771308</v>
      </c>
      <c r="BD34" s="28">
        <f>BD30-BD33</f>
        <v>184823.34090772003</v>
      </c>
      <c r="BE34" s="28">
        <f t="shared" ref="BD34:BS34" si="29">BE30-BE33</f>
        <v>198327.64168970939</v>
      </c>
      <c r="BF34" s="28">
        <f t="shared" si="29"/>
        <v>213003.58905311854</v>
      </c>
      <c r="BG34" s="28">
        <f t="shared" si="29"/>
        <v>228964.98300979112</v>
      </c>
      <c r="BH34" s="28">
        <f t="shared" si="29"/>
        <v>246337.3621835144</v>
      </c>
      <c r="BI34" s="28">
        <f t="shared" si="29"/>
        <v>265259.25034081039</v>
      </c>
      <c r="BJ34" s="28">
        <f t="shared" si="29"/>
        <v>285883.53713681281</v>
      </c>
      <c r="BK34" s="28">
        <f t="shared" si="29"/>
        <v>308379.00762811978</v>
      </c>
      <c r="BL34" s="28">
        <f t="shared" si="29"/>
        <v>332932.03668835567</v>
      </c>
      <c r="BM34" s="28">
        <f t="shared" si="29"/>
        <v>359748.46621881716</v>
      </c>
      <c r="BN34" s="28">
        <f t="shared" si="29"/>
        <v>389055.68499490578</v>
      </c>
      <c r="BO34" s="28">
        <f t="shared" si="29"/>
        <v>421104.93315001682</v>
      </c>
      <c r="BP34" s="28">
        <f t="shared" si="29"/>
        <v>456173.85569540091</v>
      </c>
      <c r="BQ34" s="28">
        <f t="shared" si="29"/>
        <v>494569.33213302831</v>
      </c>
      <c r="BR34" s="28">
        <f t="shared" si="29"/>
        <v>536630.61216728203</v>
      </c>
      <c r="BS34" s="28">
        <f t="shared" si="29"/>
        <v>582732.79079211643</v>
      </c>
    </row>
    <row r="35" spans="1:162" x14ac:dyDescent="0.35">
      <c r="B35" s="9" t="s">
        <v>55</v>
      </c>
      <c r="C35" s="9">
        <v>3407</v>
      </c>
      <c r="D35" s="9">
        <v>3378</v>
      </c>
      <c r="E35" s="9">
        <v>3701</v>
      </c>
      <c r="F35" s="9">
        <f>14236-E35-D35-C35</f>
        <v>3750</v>
      </c>
      <c r="G35" s="9">
        <v>3902</v>
      </c>
      <c r="H35" s="9">
        <v>3948</v>
      </c>
      <c r="I35" s="9">
        <v>4257</v>
      </c>
      <c r="J35" s="9">
        <f>16217-I35-H35-G35</f>
        <v>4110</v>
      </c>
      <c r="K35" s="9">
        <v>4451</v>
      </c>
      <c r="L35" s="9">
        <v>4565</v>
      </c>
      <c r="M35" s="9">
        <v>4758</v>
      </c>
      <c r="N35" s="9">
        <v>4978</v>
      </c>
      <c r="O35" s="9">
        <v>5163</v>
      </c>
      <c r="P35" s="9">
        <v>5262</v>
      </c>
      <c r="Q35" s="9">
        <v>5717</v>
      </c>
      <c r="R35" s="9">
        <v>5772</v>
      </c>
      <c r="S35" s="9">
        <v>6306</v>
      </c>
      <c r="T35" s="9">
        <v>6387</v>
      </c>
      <c r="U35" s="9">
        <v>6797</v>
      </c>
      <c r="V35" s="9">
        <v>6761</v>
      </c>
      <c r="W35" s="9">
        <v>7709</v>
      </c>
      <c r="X35" s="21">
        <v>7457</v>
      </c>
      <c r="Y35" s="28">
        <f>U35*(1+Y53)</f>
        <v>7287.8547186217957</v>
      </c>
      <c r="Z35" s="28">
        <f>V35*(1+Z53)</f>
        <v>7270.9377949791233</v>
      </c>
      <c r="AC35" s="9"/>
      <c r="AD35" s="9"/>
      <c r="AE35" s="9">
        <v>380</v>
      </c>
      <c r="AF35" s="28">
        <v>430</v>
      </c>
      <c r="AG35" s="28">
        <v>446</v>
      </c>
      <c r="AH35" s="28">
        <v>471</v>
      </c>
      <c r="AI35" s="28">
        <v>489</v>
      </c>
      <c r="AJ35" s="28">
        <v>534</v>
      </c>
      <c r="AK35" s="28">
        <v>712</v>
      </c>
      <c r="AL35" s="28">
        <v>782</v>
      </c>
      <c r="AM35" s="28">
        <v>1109</v>
      </c>
      <c r="AN35" s="28">
        <v>1333</v>
      </c>
      <c r="AO35" s="28">
        <v>1782</v>
      </c>
      <c r="AP35" s="28">
        <v>2429</v>
      </c>
      <c r="AQ35" s="28">
        <v>3381</v>
      </c>
      <c r="AR35" s="28">
        <v>4475</v>
      </c>
      <c r="AS35" s="28">
        <v>6041</v>
      </c>
      <c r="AT35" s="28">
        <v>8067</v>
      </c>
      <c r="AU35" s="28">
        <v>10045</v>
      </c>
      <c r="AV35" s="28">
        <v>11581</v>
      </c>
      <c r="AW35" s="27">
        <v>14236</v>
      </c>
      <c r="AX35" s="27">
        <v>16217</v>
      </c>
      <c r="AY35" s="27">
        <f>SUM(K35:N35)</f>
        <v>18752</v>
      </c>
      <c r="AZ35" s="27">
        <f>SUM(O35:R35)</f>
        <v>21914</v>
      </c>
      <c r="BA35" s="41">
        <f>SUM(S35:V35)</f>
        <v>26251</v>
      </c>
      <c r="BB35" s="53">
        <f t="shared" si="0"/>
        <v>29724.792513600918</v>
      </c>
      <c r="BC35" s="28">
        <f>BC30*IF($CC$17=1,($BZ$17),IF($CC$17=2,($CA$17),IF($CC$17=3,($CB$17),0)))</f>
        <v>28837.312324638227</v>
      </c>
      <c r="BD35" s="28">
        <f>BD30*IF($CC$17=1,($BZ$17),IF($CC$17=2,($CA$17),IF($CC$17=3,($CB$17),0)))</f>
        <v>30665.667044522241</v>
      </c>
      <c r="BE35" s="28">
        <f>BE30*IF($CC$17=1,($BZ$17),IF($CC$17=2,($CA$17),IF($CC$17=3,($CB$17),0)))</f>
        <v>32633.48256574267</v>
      </c>
      <c r="BF35" s="28">
        <f>BF30*IF($CC$17=1,($BZ$17),IF($CC$17=2,($CA$17),IF($CC$17=3,($CB$17),0)))</f>
        <v>34753.146455115166</v>
      </c>
      <c r="BG35" s="28">
        <f>BG30*IF($CC$17=1,($BZ$17),IF($CC$17=2,($CA$17),IF($CC$17=3,($CB$17),0)))</f>
        <v>37038.257098289796</v>
      </c>
      <c r="BH35" s="28">
        <f>BH30*IF($CC$17=1,($BZ$17),IF($CC$17=2,($CA$17),IF($CC$17=3,($CB$17),0)))</f>
        <v>39503.748240822963</v>
      </c>
      <c r="BI35" s="28">
        <f>BI30*IF($CC$17=1,($BZ$17),IF($CC$17=2,($CA$17),IF($CC$17=3,($CB$17),0)))</f>
        <v>42166.026671424261</v>
      </c>
      <c r="BJ35" s="28">
        <f>BJ30*IF($CC$17=1,($BZ$17),IF($CC$17=2,($CA$17),IF($CC$17=3,($CB$17),0)))</f>
        <v>45043.124452621902</v>
      </c>
      <c r="BK35" s="28">
        <f>BK30*IF($CC$17=1,($BZ$17),IF($CC$17=2,($CA$17),IF($CC$17=3,($CB$17),0)))</f>
        <v>48154.867255463323</v>
      </c>
      <c r="BL35" s="28">
        <f>BL30*IF($CC$17=1,($BZ$17),IF($CC$17=2,($CA$17),IF($CC$17=3,($CB$17),0)))</f>
        <v>51523.060522623091</v>
      </c>
      <c r="BM35" s="28">
        <f>BM30*IF($CC$17=1,($BZ$17),IF($CC$17=2,($CA$17),IF($CC$17=3,($CB$17),0)))</f>
        <v>55171.695370205649</v>
      </c>
      <c r="BN35" s="28">
        <f>BN30*IF($CC$17=1,($BZ$17),IF($CC$17=2,($CA$17),IF($CC$17=3,($CB$17),0)))</f>
        <v>59127.176344579195</v>
      </c>
      <c r="BO35" s="28">
        <f>BO30*IF($CC$17=1,($BZ$17),IF($CC$17=2,($CA$17),IF($CC$17=3,($CB$17),0)))</f>
        <v>63418.573378944668</v>
      </c>
      <c r="BP35" s="28">
        <f>BP30*IF($CC$17=1,($BZ$17),IF($CC$17=2,($CA$17),IF($CC$17=3,($CB$17),0)))</f>
        <v>68077.900547457248</v>
      </c>
      <c r="BQ35" s="28">
        <f>BQ30*IF($CC$17=1,($BZ$17),IF($CC$17=2,($CA$17),IF($CC$17=3,($CB$17),0)))</f>
        <v>73140.424495263811</v>
      </c>
      <c r="BR35" s="28">
        <f>BR30*IF($CC$17=1,($BZ$17),IF($CC$17=2,($CA$17),IF($CC$17=3,($CB$17),0)))</f>
        <v>78645.005733782353</v>
      </c>
      <c r="BS35" s="28">
        <f>BS30*IF($CC$17=1,($BZ$17),IF($CC$17=2,($CA$17),IF($CC$17=3,($CB$17),0)))</f>
        <v>84634.476335234707</v>
      </c>
    </row>
    <row r="36" spans="1:162" x14ac:dyDescent="0.35">
      <c r="B36" s="9" t="s">
        <v>56</v>
      </c>
      <c r="C36" s="9">
        <v>4231</v>
      </c>
      <c r="D36" s="9">
        <v>4150</v>
      </c>
      <c r="E36" s="9">
        <v>4108</v>
      </c>
      <c r="F36" s="9">
        <f>16705-E36-D36-C36</f>
        <v>4216</v>
      </c>
      <c r="G36" s="9">
        <v>4783</v>
      </c>
      <c r="H36" s="9">
        <v>4458</v>
      </c>
      <c r="I36" s="9">
        <v>4426</v>
      </c>
      <c r="J36" s="9">
        <f>18245-I36-H36-G36</f>
        <v>4578</v>
      </c>
      <c r="K36" s="9">
        <v>5197</v>
      </c>
      <c r="L36" s="9">
        <v>4952</v>
      </c>
      <c r="M36" s="9">
        <v>4831</v>
      </c>
      <c r="N36" s="9">
        <v>4936</v>
      </c>
      <c r="O36" s="9">
        <v>5631</v>
      </c>
      <c r="P36" s="9">
        <v>5314</v>
      </c>
      <c r="Q36" s="9">
        <v>5412</v>
      </c>
      <c r="R36" s="9">
        <v>5616</v>
      </c>
      <c r="S36" s="9">
        <v>6449</v>
      </c>
      <c r="T36" s="9">
        <v>6193</v>
      </c>
      <c r="U36" s="9">
        <v>6012</v>
      </c>
      <c r="V36" s="9">
        <v>6440</v>
      </c>
      <c r="W36" s="9">
        <v>6607</v>
      </c>
      <c r="X36" s="21">
        <v>6201</v>
      </c>
      <c r="Y36" s="28">
        <f>Y30*IF($CC$16=1,$BZ$16,IF($CC$16=2,$CA$16,IF($CC$16=3,$CB$16,0)))</f>
        <v>5806.2714162475822</v>
      </c>
      <c r="Z36" s="28">
        <f>Z30*IF($CC$16=1,$BZ$16,IF($CC$16=2,$CA$16,IF($CC$16=3,$CB$16,0)))</f>
        <v>6491.5575743168583</v>
      </c>
      <c r="AC36" s="9"/>
      <c r="AD36" s="9"/>
      <c r="AE36" s="9">
        <v>1166</v>
      </c>
      <c r="AF36" s="28">
        <v>1138</v>
      </c>
      <c r="AG36" s="28">
        <v>1109</v>
      </c>
      <c r="AH36" s="28">
        <v>1212</v>
      </c>
      <c r="AI36" s="28">
        <v>1421</v>
      </c>
      <c r="AJ36" s="28">
        <v>1859</v>
      </c>
      <c r="AK36" s="28">
        <v>2433</v>
      </c>
      <c r="AL36" s="28">
        <v>2963</v>
      </c>
      <c r="AM36" s="28">
        <v>3761</v>
      </c>
      <c r="AN36" s="28">
        <v>4149</v>
      </c>
      <c r="AO36" s="28">
        <v>5517</v>
      </c>
      <c r="AP36" s="28">
        <v>7599</v>
      </c>
      <c r="AQ36" s="28">
        <v>10040</v>
      </c>
      <c r="AR36" s="28">
        <v>10830</v>
      </c>
      <c r="AS36" s="28">
        <v>11993</v>
      </c>
      <c r="AT36" s="28">
        <v>14329</v>
      </c>
      <c r="AU36" s="28">
        <v>14194</v>
      </c>
      <c r="AV36" s="28">
        <v>15261</v>
      </c>
      <c r="AW36" s="27">
        <v>16705</v>
      </c>
      <c r="AX36" s="27">
        <v>18245</v>
      </c>
      <c r="AY36" s="27">
        <f>SUM(K36:N36)</f>
        <v>19916</v>
      </c>
      <c r="AZ36" s="27">
        <f>SUM(O36:R36)</f>
        <v>21973</v>
      </c>
      <c r="BA36" s="41">
        <f>SUM(S36:V36)</f>
        <v>25094</v>
      </c>
      <c r="BB36" s="53">
        <f>SUM(W36:Z36)</f>
        <v>25105.828990564441</v>
      </c>
      <c r="BC36" s="28">
        <f>BC30*IF($CC$16=1,($BZ$16),IF($CC$16=2,($CA$16),IF($CC$16=3,($CB$16),0)))</f>
        <v>28837.312324638227</v>
      </c>
      <c r="BD36" s="28">
        <f>BD30*IF($CC$16=1,($BZ$16),IF($CC$16=2,($CA$16),IF($CC$16=3,($CB$16),0)))</f>
        <v>30665.667044522241</v>
      </c>
      <c r="BE36" s="28">
        <f>BE30*IF($CC$16=1,($BZ$16),IF($CC$16=2,($CA$16),IF($CC$16=3,($CB$16),0)))</f>
        <v>32633.48256574267</v>
      </c>
      <c r="BF36" s="28">
        <f>BF30*IF($CC$16=1,($BZ$16),IF($CC$16=2,($CA$16),IF($CC$16=3,($CB$16),0)))</f>
        <v>34753.146455115166</v>
      </c>
      <c r="BG36" s="28">
        <f>BG30*IF($CC$16=1,($BZ$16),IF($CC$16=2,($CA$16),IF($CC$16=3,($CB$16),0)))</f>
        <v>37038.257098289796</v>
      </c>
      <c r="BH36" s="28">
        <f>BH30*IF($CC$16=1,($BZ$16),IF($CC$16=2,($CA$16),IF($CC$16=3,($CB$16),0)))</f>
        <v>39503.748240822963</v>
      </c>
      <c r="BI36" s="28">
        <f>BI30*IF($CC$16=1,($BZ$16),IF($CC$16=2,($CA$16),IF($CC$16=3,($CB$16),0)))</f>
        <v>42166.026671424261</v>
      </c>
      <c r="BJ36" s="28">
        <f>BJ30*IF($CC$16=1,($BZ$16),IF($CC$16=2,($CA$16),IF($CC$16=3,($CB$16),0)))</f>
        <v>45043.124452621902</v>
      </c>
      <c r="BK36" s="28">
        <f>BK30*IF($CC$16=1,($BZ$16),IF($CC$16=2,($CA$16),IF($CC$16=3,($CB$16),0)))</f>
        <v>48154.867255463323</v>
      </c>
      <c r="BL36" s="28">
        <f>BL30*IF($CC$16=1,($BZ$16),IF($CC$16=2,($CA$16),IF($CC$16=3,($CB$16),0)))</f>
        <v>51523.060522623091</v>
      </c>
      <c r="BM36" s="28">
        <f>BM30*IF($CC$16=1,($BZ$16),IF($CC$16=2,($CA$16),IF($CC$16=3,($CB$16),0)))</f>
        <v>55171.695370205649</v>
      </c>
      <c r="BN36" s="28">
        <f>BN30*IF($CC$16=1,($BZ$16),IF($CC$16=2,($CA$16),IF($CC$16=3,($CB$16),0)))</f>
        <v>59127.176344579195</v>
      </c>
      <c r="BO36" s="28">
        <f>BO30*IF($CC$16=1,($BZ$16),IF($CC$16=2,($CA$16),IF($CC$16=3,($CB$16),0)))</f>
        <v>63418.573378944668</v>
      </c>
      <c r="BP36" s="28">
        <f>BP30*IF($CC$16=1,($BZ$16),IF($CC$16=2,($CA$16),IF($CC$16=3,($CB$16),0)))</f>
        <v>68077.900547457248</v>
      </c>
      <c r="BQ36" s="28">
        <f>BQ30*IF($CC$16=1,($BZ$16),IF($CC$16=2,($CA$16),IF($CC$16=3,($CB$16),0)))</f>
        <v>73140.424495263811</v>
      </c>
      <c r="BR36" s="28">
        <f>BR30*IF($CC$16=1,($BZ$16),IF($CC$16=2,($CA$16),IF($CC$16=3,($CB$16),0)))</f>
        <v>78645.005733782353</v>
      </c>
      <c r="BS36" s="28">
        <f>BS30*IF($CC$16=1,($BZ$16),IF($CC$16=2,($CA$16),IF($CC$16=3,($CB$16),0)))</f>
        <v>84634.476335234707</v>
      </c>
    </row>
    <row r="37" spans="1:162" x14ac:dyDescent="0.35">
      <c r="B37" s="9" t="s">
        <v>57</v>
      </c>
      <c r="C37" s="9">
        <f t="shared" ref="C37:F37" si="30">+C35+C36</f>
        <v>7638</v>
      </c>
      <c r="D37" s="9">
        <f t="shared" si="30"/>
        <v>7528</v>
      </c>
      <c r="E37" s="9">
        <f t="shared" si="30"/>
        <v>7809</v>
      </c>
      <c r="F37" s="9">
        <f t="shared" si="30"/>
        <v>7966</v>
      </c>
      <c r="G37" s="9">
        <f>SUM(G35:G36)</f>
        <v>8685</v>
      </c>
      <c r="H37" s="9">
        <f>SUM(H35:H36)</f>
        <v>8406</v>
      </c>
      <c r="I37" s="9">
        <f>SUM(I35:I36)</f>
        <v>8683</v>
      </c>
      <c r="J37" s="9">
        <f>SUM(J35:J36)</f>
        <v>8688</v>
      </c>
      <c r="K37" s="9">
        <f t="shared" ref="K37:N37" si="31">+K35+K36</f>
        <v>9648</v>
      </c>
      <c r="L37" s="9">
        <f t="shared" si="31"/>
        <v>9517</v>
      </c>
      <c r="M37" s="9">
        <f t="shared" si="31"/>
        <v>9589</v>
      </c>
      <c r="N37" s="9">
        <f t="shared" si="31"/>
        <v>9914</v>
      </c>
      <c r="O37" s="9">
        <f>+O35+O36</f>
        <v>10794</v>
      </c>
      <c r="P37" s="9">
        <f>+P35+P36</f>
        <v>10576</v>
      </c>
      <c r="Q37" s="9">
        <f>+Q35+Q36</f>
        <v>11129</v>
      </c>
      <c r="R37" s="9">
        <f t="shared" ref="R37:S37" si="32">+R35+R36</f>
        <v>11388</v>
      </c>
      <c r="S37" s="9">
        <f t="shared" si="32"/>
        <v>12755</v>
      </c>
      <c r="T37" s="9">
        <f>+T35+T36</f>
        <v>12580</v>
      </c>
      <c r="U37" s="9">
        <f t="shared" ref="U37:X37" si="33">+U35+U36</f>
        <v>12809</v>
      </c>
      <c r="V37" s="9">
        <f t="shared" si="33"/>
        <v>13201</v>
      </c>
      <c r="W37" s="9">
        <f t="shared" si="33"/>
        <v>14316</v>
      </c>
      <c r="X37" s="21">
        <f>+X35+X36</f>
        <v>13658</v>
      </c>
      <c r="Y37" s="28">
        <f>SUM(Y35:Y36)</f>
        <v>13094.126134869377</v>
      </c>
      <c r="Z37" s="28">
        <f>SUM(Z35:Z36)</f>
        <v>13762.495369295983</v>
      </c>
      <c r="AC37" s="9"/>
      <c r="AD37" s="9"/>
      <c r="AE37" s="9">
        <f t="shared" ref="AE37:AX37" si="34">+AE35+AE36</f>
        <v>1546</v>
      </c>
      <c r="AF37" s="28">
        <f t="shared" si="34"/>
        <v>1568</v>
      </c>
      <c r="AG37" s="28">
        <f t="shared" si="34"/>
        <v>1555</v>
      </c>
      <c r="AH37" s="28">
        <f t="shared" si="34"/>
        <v>1683</v>
      </c>
      <c r="AI37" s="28">
        <f t="shared" si="34"/>
        <v>1910</v>
      </c>
      <c r="AJ37" s="28">
        <f t="shared" si="34"/>
        <v>2393</v>
      </c>
      <c r="AK37" s="28">
        <f t="shared" si="34"/>
        <v>3145</v>
      </c>
      <c r="AL37" s="28">
        <f t="shared" si="34"/>
        <v>3745</v>
      </c>
      <c r="AM37" s="28">
        <f t="shared" si="34"/>
        <v>4870</v>
      </c>
      <c r="AN37" s="28">
        <f t="shared" si="34"/>
        <v>5482</v>
      </c>
      <c r="AO37" s="28">
        <f t="shared" si="34"/>
        <v>7299</v>
      </c>
      <c r="AP37" s="28">
        <f t="shared" si="34"/>
        <v>10028</v>
      </c>
      <c r="AQ37" s="28">
        <f t="shared" si="34"/>
        <v>13421</v>
      </c>
      <c r="AR37" s="28">
        <f t="shared" si="34"/>
        <v>15305</v>
      </c>
      <c r="AS37" s="28">
        <f t="shared" si="34"/>
        <v>18034</v>
      </c>
      <c r="AT37" s="28">
        <f t="shared" si="34"/>
        <v>22396</v>
      </c>
      <c r="AU37" s="28">
        <f t="shared" si="34"/>
        <v>24239</v>
      </c>
      <c r="AV37" s="28">
        <f t="shared" si="34"/>
        <v>26842</v>
      </c>
      <c r="AW37" s="28">
        <f t="shared" si="34"/>
        <v>30941</v>
      </c>
      <c r="AX37" s="28">
        <f t="shared" si="34"/>
        <v>34462</v>
      </c>
      <c r="AY37" s="28">
        <f>+AY35+AY36</f>
        <v>38668</v>
      </c>
      <c r="AZ37" s="28">
        <f>+AZ35+AZ36</f>
        <v>43887</v>
      </c>
      <c r="BA37" s="35">
        <f>+BA35+BA36</f>
        <v>51345</v>
      </c>
      <c r="BB37" s="53">
        <f t="shared" si="0"/>
        <v>54830.621504165363</v>
      </c>
      <c r="BC37" s="28">
        <f>SUM(BC35:BC36)</f>
        <v>57674.624649276455</v>
      </c>
      <c r="BD37" s="28">
        <f t="shared" ref="BD37:BS37" si="35">SUM(BD35:BD36)</f>
        <v>61331.334089044482</v>
      </c>
      <c r="BE37" s="28">
        <f t="shared" si="35"/>
        <v>65266.96513148534</v>
      </c>
      <c r="BF37" s="28">
        <f t="shared" si="35"/>
        <v>69506.292910230331</v>
      </c>
      <c r="BG37" s="28">
        <f t="shared" si="35"/>
        <v>74076.514196579592</v>
      </c>
      <c r="BH37" s="28">
        <f t="shared" si="35"/>
        <v>79007.496481645925</v>
      </c>
      <c r="BI37" s="28">
        <f t="shared" si="35"/>
        <v>84332.053342848521</v>
      </c>
      <c r="BJ37" s="28">
        <f t="shared" si="35"/>
        <v>90086.248905243803</v>
      </c>
      <c r="BK37" s="28">
        <f t="shared" si="35"/>
        <v>96309.734510926646</v>
      </c>
      <c r="BL37" s="28">
        <f t="shared" si="35"/>
        <v>103046.12104524618</v>
      </c>
      <c r="BM37" s="28">
        <f t="shared" si="35"/>
        <v>110343.3907404113</v>
      </c>
      <c r="BN37" s="28">
        <f t="shared" si="35"/>
        <v>118254.35268915839</v>
      </c>
      <c r="BO37" s="28">
        <f t="shared" si="35"/>
        <v>126837.14675788934</v>
      </c>
      <c r="BP37" s="28">
        <f t="shared" si="35"/>
        <v>136155.8010949145</v>
      </c>
      <c r="BQ37" s="28">
        <f t="shared" si="35"/>
        <v>146280.84899052762</v>
      </c>
      <c r="BR37" s="28">
        <f t="shared" si="35"/>
        <v>157290.01146756471</v>
      </c>
      <c r="BS37" s="28">
        <f t="shared" si="35"/>
        <v>169268.95267046941</v>
      </c>
    </row>
    <row r="38" spans="1:162" x14ac:dyDescent="0.35">
      <c r="B38" s="9" t="s">
        <v>58</v>
      </c>
      <c r="C38" s="9">
        <f t="shared" ref="C38:F38" si="36">+C34-C37</f>
        <v>26274</v>
      </c>
      <c r="D38" s="9">
        <f t="shared" si="36"/>
        <v>15894</v>
      </c>
      <c r="E38" s="9">
        <f t="shared" si="36"/>
        <v>12612</v>
      </c>
      <c r="F38" s="9">
        <f>+F34-F37</f>
        <v>16118</v>
      </c>
      <c r="G38" s="9">
        <f>G34-G37</f>
        <v>23346</v>
      </c>
      <c r="H38" s="9">
        <f>H34-H37</f>
        <v>13415</v>
      </c>
      <c r="I38" s="9">
        <f>I34-I37</f>
        <v>11544</v>
      </c>
      <c r="J38" s="9">
        <f>J34-J37</f>
        <v>15625</v>
      </c>
      <c r="K38" s="9">
        <f t="shared" ref="K38:N38" si="37">+K34-K37</f>
        <v>25569</v>
      </c>
      <c r="L38" s="9">
        <f t="shared" si="37"/>
        <v>12853</v>
      </c>
      <c r="M38" s="9">
        <f t="shared" si="37"/>
        <v>13091</v>
      </c>
      <c r="N38" s="9">
        <f t="shared" si="37"/>
        <v>14775</v>
      </c>
      <c r="O38" s="9">
        <f>+O34-O37</f>
        <v>33534</v>
      </c>
      <c r="P38" s="9">
        <f>+P34-P37</f>
        <v>27503</v>
      </c>
      <c r="Q38" s="9">
        <f>+Q34-Q37</f>
        <v>24126</v>
      </c>
      <c r="R38" s="9">
        <f t="shared" ref="R38:S38" si="38">+R34-R37</f>
        <v>23786</v>
      </c>
      <c r="S38" s="9">
        <f t="shared" si="38"/>
        <v>41488</v>
      </c>
      <c r="T38" s="9">
        <f>+T34-T37</f>
        <v>29979</v>
      </c>
      <c r="U38" s="9">
        <f t="shared" ref="U38:X38" si="39">+U34-U37</f>
        <v>23076</v>
      </c>
      <c r="V38" s="9">
        <f t="shared" si="39"/>
        <v>24894</v>
      </c>
      <c r="W38" s="9">
        <f t="shared" si="39"/>
        <v>36016</v>
      </c>
      <c r="X38" s="21">
        <f t="shared" si="39"/>
        <v>28318</v>
      </c>
      <c r="Y38" s="28">
        <f>Y34-Y37</f>
        <v>24724.355149785642</v>
      </c>
      <c r="Z38" s="28">
        <f>Z34-Z37</f>
        <v>27236.012245906946</v>
      </c>
      <c r="AB38" s="9"/>
      <c r="AC38" s="9"/>
      <c r="AD38" s="9"/>
      <c r="AE38" s="9">
        <f t="shared" ref="AE38:AX38" si="40">+AE34-AE37</f>
        <v>620</v>
      </c>
      <c r="AF38" s="28">
        <f t="shared" si="40"/>
        <v>-333</v>
      </c>
      <c r="AG38" s="28">
        <f t="shared" si="40"/>
        <v>48</v>
      </c>
      <c r="AH38" s="28">
        <f t="shared" si="40"/>
        <v>25</v>
      </c>
      <c r="AI38" s="28">
        <f t="shared" si="40"/>
        <v>349</v>
      </c>
      <c r="AJ38" s="28">
        <f t="shared" si="40"/>
        <v>1650</v>
      </c>
      <c r="AK38" s="28">
        <f t="shared" si="40"/>
        <v>2453</v>
      </c>
      <c r="AL38" s="28">
        <f t="shared" si="40"/>
        <v>4409</v>
      </c>
      <c r="AM38" s="28">
        <f t="shared" si="40"/>
        <v>8327</v>
      </c>
      <c r="AN38" s="28">
        <f t="shared" si="40"/>
        <v>11740</v>
      </c>
      <c r="AO38" s="28">
        <f t="shared" si="40"/>
        <v>18385</v>
      </c>
      <c r="AP38" s="28">
        <f t="shared" si="40"/>
        <v>33790</v>
      </c>
      <c r="AQ38" s="28">
        <f t="shared" si="40"/>
        <v>55241</v>
      </c>
      <c r="AR38" s="28">
        <f t="shared" si="40"/>
        <v>48999</v>
      </c>
      <c r="AS38" s="28">
        <f t="shared" si="40"/>
        <v>52503</v>
      </c>
      <c r="AT38" s="28">
        <f t="shared" si="40"/>
        <v>71230</v>
      </c>
      <c r="AU38" s="28">
        <f t="shared" si="40"/>
        <v>60024</v>
      </c>
      <c r="AV38" s="28">
        <f t="shared" si="40"/>
        <v>61344</v>
      </c>
      <c r="AW38" s="28">
        <f t="shared" si="40"/>
        <v>70898</v>
      </c>
      <c r="AX38" s="28">
        <f t="shared" si="40"/>
        <v>63930</v>
      </c>
      <c r="AY38" s="28">
        <f>+AY34-AY37</f>
        <v>66288</v>
      </c>
      <c r="AZ38" s="28">
        <f>+AZ34-AZ37</f>
        <v>108949</v>
      </c>
      <c r="BA38" s="35">
        <f>+BA34-BA37</f>
        <v>119437</v>
      </c>
      <c r="BB38" s="53">
        <f t="shared" si="0"/>
        <v>116294.36739569259</v>
      </c>
      <c r="BC38" s="28">
        <f>BC34-BC37</f>
        <v>114712.87521843662</v>
      </c>
      <c r="BD38" s="28">
        <f t="shared" ref="BD38:BS38" si="41">BD34-BD37</f>
        <v>123492.00681867555</v>
      </c>
      <c r="BE38" s="28">
        <f t="shared" si="41"/>
        <v>133060.67655822405</v>
      </c>
      <c r="BF38" s="28">
        <f t="shared" si="41"/>
        <v>143497.2961428882</v>
      </c>
      <c r="BG38" s="28">
        <f t="shared" si="41"/>
        <v>154888.46881321154</v>
      </c>
      <c r="BH38" s="28">
        <f t="shared" si="41"/>
        <v>167329.86570186849</v>
      </c>
      <c r="BI38" s="28">
        <f t="shared" si="41"/>
        <v>180927.19699796187</v>
      </c>
      <c r="BJ38" s="28">
        <f t="shared" si="41"/>
        <v>195797.28823156899</v>
      </c>
      <c r="BK38" s="28">
        <f t="shared" si="41"/>
        <v>212069.27311719314</v>
      </c>
      <c r="BL38" s="28">
        <f t="shared" si="41"/>
        <v>229885.91564310947</v>
      </c>
      <c r="BM38" s="28">
        <f t="shared" si="41"/>
        <v>249405.07547840587</v>
      </c>
      <c r="BN38" s="28">
        <f t="shared" si="41"/>
        <v>270801.33230574738</v>
      </c>
      <c r="BO38" s="28">
        <f t="shared" si="41"/>
        <v>294267.78639212751</v>
      </c>
      <c r="BP38" s="28">
        <f t="shared" si="41"/>
        <v>320018.05460048642</v>
      </c>
      <c r="BQ38" s="28">
        <f t="shared" si="41"/>
        <v>348288.48314250069</v>
      </c>
      <c r="BR38" s="28">
        <f t="shared" si="41"/>
        <v>379340.6006997173</v>
      </c>
      <c r="BS38" s="28">
        <f t="shared" si="41"/>
        <v>413463.83812164702</v>
      </c>
    </row>
    <row r="39" spans="1:162" x14ac:dyDescent="0.35">
      <c r="B39" s="9" t="s">
        <v>59</v>
      </c>
      <c r="C39" s="9">
        <v>756</v>
      </c>
      <c r="D39" s="9">
        <v>274</v>
      </c>
      <c r="E39" s="9">
        <v>672</v>
      </c>
      <c r="F39" s="9">
        <f>2005-E39-D39-C39</f>
        <v>303</v>
      </c>
      <c r="G39" s="9">
        <v>560</v>
      </c>
      <c r="H39" s="9">
        <v>378</v>
      </c>
      <c r="I39" s="9">
        <v>367</v>
      </c>
      <c r="J39" s="9">
        <f>1807-I39-H39-G39</f>
        <v>502</v>
      </c>
      <c r="K39" s="9">
        <v>349</v>
      </c>
      <c r="L39" s="9">
        <v>282</v>
      </c>
      <c r="M39" s="9">
        <v>46</v>
      </c>
      <c r="N39" s="9">
        <v>126</v>
      </c>
      <c r="O39" s="9">
        <v>45</v>
      </c>
      <c r="P39" s="9">
        <v>508</v>
      </c>
      <c r="Q39" s="9">
        <v>243</v>
      </c>
      <c r="R39" s="9">
        <v>-538</v>
      </c>
      <c r="S39" s="9">
        <v>-247</v>
      </c>
      <c r="T39" s="9">
        <v>160</v>
      </c>
      <c r="U39" s="9">
        <v>-10</v>
      </c>
      <c r="V39" s="9">
        <v>-237</v>
      </c>
      <c r="W39" s="9">
        <v>-393</v>
      </c>
      <c r="X39" s="21">
        <v>64</v>
      </c>
      <c r="Y39" s="28">
        <f>X39</f>
        <v>64</v>
      </c>
      <c r="Z39" s="28">
        <f>Y39</f>
        <v>64</v>
      </c>
      <c r="AC39" s="9"/>
      <c r="AD39" s="9"/>
      <c r="AE39" s="9">
        <v>203</v>
      </c>
      <c r="AF39" s="28">
        <v>217</v>
      </c>
      <c r="AG39" s="28">
        <v>70</v>
      </c>
      <c r="AH39" s="28">
        <v>93</v>
      </c>
      <c r="AI39" s="28">
        <v>57</v>
      </c>
      <c r="AJ39" s="28">
        <v>165</v>
      </c>
      <c r="AK39" s="28">
        <v>365</v>
      </c>
      <c r="AL39" s="28">
        <v>599</v>
      </c>
      <c r="AM39" s="28">
        <v>620</v>
      </c>
      <c r="AN39" s="28">
        <v>326</v>
      </c>
      <c r="AO39" s="28">
        <v>155</v>
      </c>
      <c r="AP39" s="28">
        <v>415</v>
      </c>
      <c r="AQ39" s="28">
        <v>522</v>
      </c>
      <c r="AR39" s="28">
        <v>1156</v>
      </c>
      <c r="AS39" s="28">
        <v>980</v>
      </c>
      <c r="AT39" s="28">
        <v>1285</v>
      </c>
      <c r="AU39" s="28">
        <v>1348</v>
      </c>
      <c r="AV39" s="28">
        <v>2745</v>
      </c>
      <c r="AW39" s="27">
        <v>2005</v>
      </c>
      <c r="AX39" s="27">
        <v>1807</v>
      </c>
      <c r="AY39" s="27">
        <f>SUM(K39:N39)</f>
        <v>803</v>
      </c>
      <c r="AZ39" s="27">
        <f>SUM(O39:R39)</f>
        <v>258</v>
      </c>
      <c r="BA39" s="41">
        <f>SUM(S39:V39)</f>
        <v>-334</v>
      </c>
      <c r="BB39" s="53">
        <f t="shared" si="0"/>
        <v>-201</v>
      </c>
      <c r="BC39" s="28">
        <f>BB39</f>
        <v>-201</v>
      </c>
      <c r="BD39" s="28">
        <f t="shared" ref="BD39:BS39" si="42">BC39</f>
        <v>-201</v>
      </c>
      <c r="BE39" s="28">
        <f t="shared" si="42"/>
        <v>-201</v>
      </c>
      <c r="BF39" s="28">
        <f t="shared" si="42"/>
        <v>-201</v>
      </c>
      <c r="BG39" s="28">
        <f t="shared" si="42"/>
        <v>-201</v>
      </c>
      <c r="BH39" s="28">
        <f t="shared" si="42"/>
        <v>-201</v>
      </c>
      <c r="BI39" s="28">
        <f t="shared" si="42"/>
        <v>-201</v>
      </c>
      <c r="BJ39" s="28">
        <f t="shared" si="42"/>
        <v>-201</v>
      </c>
      <c r="BK39" s="28">
        <f t="shared" si="42"/>
        <v>-201</v>
      </c>
      <c r="BL39" s="28">
        <f t="shared" si="42"/>
        <v>-201</v>
      </c>
      <c r="BM39" s="28">
        <f t="shared" si="42"/>
        <v>-201</v>
      </c>
      <c r="BN39" s="28">
        <f t="shared" si="42"/>
        <v>-201</v>
      </c>
      <c r="BO39" s="28">
        <f t="shared" si="42"/>
        <v>-201</v>
      </c>
      <c r="BP39" s="28">
        <f t="shared" si="42"/>
        <v>-201</v>
      </c>
      <c r="BQ39" s="28">
        <f t="shared" si="42"/>
        <v>-201</v>
      </c>
      <c r="BR39" s="28">
        <f t="shared" si="42"/>
        <v>-201</v>
      </c>
      <c r="BS39" s="28">
        <f t="shared" si="42"/>
        <v>-201</v>
      </c>
    </row>
    <row r="40" spans="1:162" x14ac:dyDescent="0.35">
      <c r="B40" s="9" t="s">
        <v>60</v>
      </c>
      <c r="C40" s="9">
        <f t="shared" ref="C40:F40" si="43">+C38+C39</f>
        <v>27030</v>
      </c>
      <c r="D40" s="9">
        <f t="shared" si="43"/>
        <v>16168</v>
      </c>
      <c r="E40" s="9">
        <f>+E38+E39</f>
        <v>13284</v>
      </c>
      <c r="F40" s="9">
        <f>+F38+F39</f>
        <v>16421</v>
      </c>
      <c r="G40" s="9">
        <f>G38+G39</f>
        <v>23906</v>
      </c>
      <c r="H40" s="9">
        <f>H38-H39</f>
        <v>13037</v>
      </c>
      <c r="I40" s="9">
        <f>I38-I39</f>
        <v>11177</v>
      </c>
      <c r="J40" s="9">
        <f>J38-J39</f>
        <v>15123</v>
      </c>
      <c r="K40" s="9">
        <f t="shared" ref="K40:N40" si="44">+K38+K39</f>
        <v>25918</v>
      </c>
      <c r="L40" s="9">
        <f t="shared" si="44"/>
        <v>13135</v>
      </c>
      <c r="M40" s="9">
        <f t="shared" si="44"/>
        <v>13137</v>
      </c>
      <c r="N40" s="9">
        <f t="shared" si="44"/>
        <v>14901</v>
      </c>
      <c r="O40" s="9">
        <f>+O38+O39</f>
        <v>33579</v>
      </c>
      <c r="P40" s="9">
        <f>+P38+P39</f>
        <v>28011</v>
      </c>
      <c r="Q40" s="9">
        <f>+Q38+Q39</f>
        <v>24369</v>
      </c>
      <c r="R40" s="9">
        <f t="shared" ref="R40:S40" si="45">+R38+R39</f>
        <v>23248</v>
      </c>
      <c r="S40" s="9">
        <f t="shared" si="45"/>
        <v>41241</v>
      </c>
      <c r="T40" s="9">
        <f>+T38+T39</f>
        <v>30139</v>
      </c>
      <c r="U40" s="9">
        <f t="shared" ref="U40:X40" si="46">+U38+U39</f>
        <v>23066</v>
      </c>
      <c r="V40" s="9">
        <f t="shared" si="46"/>
        <v>24657</v>
      </c>
      <c r="W40" s="9">
        <f t="shared" si="46"/>
        <v>35623</v>
      </c>
      <c r="X40" s="21">
        <f>+X38+X39</f>
        <v>28382</v>
      </c>
      <c r="Y40" s="28">
        <f>Y38+Y39</f>
        <v>24788.355149785642</v>
      </c>
      <c r="Z40" s="28">
        <f>Z38+Z39</f>
        <v>27300.012245906946</v>
      </c>
      <c r="AC40" s="9"/>
      <c r="AD40" s="9"/>
      <c r="AE40" s="9">
        <f t="shared" ref="AE40:AX40" si="47">+AE38+AE39</f>
        <v>823</v>
      </c>
      <c r="AF40" s="28">
        <f t="shared" si="47"/>
        <v>-116</v>
      </c>
      <c r="AG40" s="28">
        <f t="shared" si="47"/>
        <v>118</v>
      </c>
      <c r="AH40" s="28">
        <f t="shared" si="47"/>
        <v>118</v>
      </c>
      <c r="AI40" s="28">
        <f t="shared" si="47"/>
        <v>406</v>
      </c>
      <c r="AJ40" s="28">
        <f t="shared" si="47"/>
        <v>1815</v>
      </c>
      <c r="AK40" s="28">
        <f t="shared" si="47"/>
        <v>2818</v>
      </c>
      <c r="AL40" s="28">
        <f t="shared" si="47"/>
        <v>5008</v>
      </c>
      <c r="AM40" s="28">
        <f t="shared" si="47"/>
        <v>8947</v>
      </c>
      <c r="AN40" s="28">
        <f t="shared" si="47"/>
        <v>12066</v>
      </c>
      <c r="AO40" s="28">
        <f t="shared" si="47"/>
        <v>18540</v>
      </c>
      <c r="AP40" s="28">
        <f t="shared" si="47"/>
        <v>34205</v>
      </c>
      <c r="AQ40" s="28">
        <f t="shared" si="47"/>
        <v>55763</v>
      </c>
      <c r="AR40" s="28">
        <f t="shared" si="47"/>
        <v>50155</v>
      </c>
      <c r="AS40" s="28">
        <f t="shared" si="47"/>
        <v>53483</v>
      </c>
      <c r="AT40" s="28">
        <f t="shared" si="47"/>
        <v>72515</v>
      </c>
      <c r="AU40" s="28">
        <f t="shared" si="47"/>
        <v>61372</v>
      </c>
      <c r="AV40" s="28">
        <f t="shared" si="47"/>
        <v>64089</v>
      </c>
      <c r="AW40" s="28">
        <f t="shared" si="47"/>
        <v>72903</v>
      </c>
      <c r="AX40" s="28">
        <f t="shared" si="47"/>
        <v>65737</v>
      </c>
      <c r="AY40" s="28">
        <f>+AY38+AY39</f>
        <v>67091</v>
      </c>
      <c r="AZ40" s="28">
        <f>+AZ38+AZ39</f>
        <v>109207</v>
      </c>
      <c r="BA40" s="35">
        <f>+BA38+BA39</f>
        <v>119103</v>
      </c>
      <c r="BB40" s="53">
        <f t="shared" si="0"/>
        <v>116093.36739569259</v>
      </c>
      <c r="BC40" s="28">
        <f>BC38+BC39</f>
        <v>114511.87521843662</v>
      </c>
      <c r="BD40" s="28">
        <f t="shared" ref="BD40:BS40" si="48">BD38+BD39</f>
        <v>123291.00681867555</v>
      </c>
      <c r="BE40" s="28">
        <f t="shared" si="48"/>
        <v>132859.67655822405</v>
      </c>
      <c r="BF40" s="28">
        <f t="shared" si="48"/>
        <v>143296.2961428882</v>
      </c>
      <c r="BG40" s="28">
        <f t="shared" si="48"/>
        <v>154687.46881321154</v>
      </c>
      <c r="BH40" s="28">
        <f t="shared" si="48"/>
        <v>167128.86570186849</v>
      </c>
      <c r="BI40" s="28">
        <f t="shared" si="48"/>
        <v>180726.19699796187</v>
      </c>
      <c r="BJ40" s="28">
        <f t="shared" si="48"/>
        <v>195596.28823156899</v>
      </c>
      <c r="BK40" s="28">
        <f t="shared" si="48"/>
        <v>211868.27311719314</v>
      </c>
      <c r="BL40" s="28">
        <f t="shared" si="48"/>
        <v>229684.91564310947</v>
      </c>
      <c r="BM40" s="28">
        <f t="shared" si="48"/>
        <v>249204.07547840587</v>
      </c>
      <c r="BN40" s="28">
        <f t="shared" si="48"/>
        <v>270600.33230574738</v>
      </c>
      <c r="BO40" s="28">
        <f t="shared" si="48"/>
        <v>294066.78639212751</v>
      </c>
      <c r="BP40" s="28">
        <f t="shared" si="48"/>
        <v>319817.05460048642</v>
      </c>
      <c r="BQ40" s="28">
        <f t="shared" si="48"/>
        <v>348087.48314250069</v>
      </c>
      <c r="BR40" s="28">
        <f t="shared" si="48"/>
        <v>379139.6006997173</v>
      </c>
      <c r="BS40" s="28">
        <f t="shared" si="48"/>
        <v>413262.83812164702</v>
      </c>
    </row>
    <row r="41" spans="1:162" x14ac:dyDescent="0.35">
      <c r="B41" s="9" t="s">
        <v>61</v>
      </c>
      <c r="C41" s="9">
        <v>6965</v>
      </c>
      <c r="D41" s="9">
        <v>2346</v>
      </c>
      <c r="E41" s="9">
        <v>1765</v>
      </c>
      <c r="F41" s="9">
        <f>13372-E41-D41-C41</f>
        <v>2296</v>
      </c>
      <c r="G41" s="9">
        <v>3941</v>
      </c>
      <c r="H41" s="9">
        <v>2232</v>
      </c>
      <c r="I41" s="9">
        <v>1867</v>
      </c>
      <c r="J41" s="9">
        <f>10481-I41-H41-G41</f>
        <v>2441</v>
      </c>
      <c r="K41" s="9">
        <v>3682</v>
      </c>
      <c r="L41" s="9">
        <v>1886</v>
      </c>
      <c r="M41" s="9">
        <v>1884</v>
      </c>
      <c r="N41" s="9">
        <v>2228</v>
      </c>
      <c r="O41" s="9">
        <v>4824</v>
      </c>
      <c r="P41" s="9">
        <v>4381</v>
      </c>
      <c r="Q41" s="9">
        <v>2625</v>
      </c>
      <c r="R41" s="9">
        <v>2697</v>
      </c>
      <c r="S41" s="9">
        <v>6611</v>
      </c>
      <c r="T41" s="9">
        <v>5129</v>
      </c>
      <c r="U41" s="9">
        <v>3624</v>
      </c>
      <c r="V41" s="9">
        <v>3936</v>
      </c>
      <c r="W41" s="9">
        <v>5625</v>
      </c>
      <c r="X41" s="21">
        <v>4222</v>
      </c>
      <c r="Y41" s="28">
        <f>Y40*Y59</f>
        <v>3800.7967050191705</v>
      </c>
      <c r="Z41" s="28">
        <f>Z40*Z59</f>
        <v>4123.4782305269591</v>
      </c>
      <c r="AC41" s="9"/>
      <c r="AD41" s="9"/>
      <c r="AE41" s="9">
        <v>306</v>
      </c>
      <c r="AF41" s="28">
        <v>0</v>
      </c>
      <c r="AG41" s="28">
        <v>22</v>
      </c>
      <c r="AH41" s="28">
        <v>24</v>
      </c>
      <c r="AI41" s="28">
        <v>107</v>
      </c>
      <c r="AJ41" s="28">
        <v>480</v>
      </c>
      <c r="AK41" s="28">
        <v>829</v>
      </c>
      <c r="AL41" s="28">
        <v>1512</v>
      </c>
      <c r="AM41" s="28">
        <v>2828</v>
      </c>
      <c r="AN41" s="28">
        <v>3831</v>
      </c>
      <c r="AO41" s="28">
        <v>4527</v>
      </c>
      <c r="AP41" s="28">
        <v>8283</v>
      </c>
      <c r="AQ41" s="28">
        <v>14030</v>
      </c>
      <c r="AR41" s="28">
        <v>13118</v>
      </c>
      <c r="AS41" s="28">
        <v>13973</v>
      </c>
      <c r="AT41" s="28">
        <v>19121</v>
      </c>
      <c r="AU41" s="28">
        <v>15685</v>
      </c>
      <c r="AV41" s="28">
        <v>15738</v>
      </c>
      <c r="AW41" s="27">
        <v>13372</v>
      </c>
      <c r="AX41" s="27">
        <v>10481</v>
      </c>
      <c r="AY41" s="27">
        <f>SUM(K41:N41)</f>
        <v>9680</v>
      </c>
      <c r="AZ41" s="27">
        <f>SUM(O41:R41)</f>
        <v>14527</v>
      </c>
      <c r="BA41" s="41">
        <f>SUM(S41:V41)</f>
        <v>19300</v>
      </c>
      <c r="BB41" s="53">
        <f>SUM(W41:Z41)</f>
        <v>17771.274935546131</v>
      </c>
      <c r="BC41" s="28">
        <f>BC40*IF($CC$18=1,$BZ$18,IF($CC$18=2,$CA$18,IF($CC$18=3,$CB$18,0)))</f>
        <v>17176.781282765493</v>
      </c>
      <c r="BD41" s="28">
        <f>BD40*IF($CC$18=1,$BZ$18,IF($CC$18=2,$CA$18,IF($CC$18=3,$CB$18,0)))</f>
        <v>18493.651022801332</v>
      </c>
      <c r="BE41" s="28">
        <f>BE40*IF($CC$18=1,$BZ$18,IF($CC$18=2,$CA$18,IF($CC$18=3,$CB$18,0)))</f>
        <v>19928.951483733606</v>
      </c>
      <c r="BF41" s="28">
        <f>BF40*IF($CC$18=1,$BZ$18,IF($CC$18=2,$CA$18,IF($CC$18=3,$CB$18,0)))</f>
        <v>21494.444421433229</v>
      </c>
      <c r="BG41" s="28">
        <f>BG40*IF($CC$18=1,$BZ$18,IF($CC$18=2,$CA$18,IF($CC$18=3,$CB$18,0)))</f>
        <v>23203.120321981729</v>
      </c>
      <c r="BH41" s="28">
        <f>BH40*IF($CC$18=1,$BZ$18,IF($CC$18=2,$CA$18,IF($CC$18=3,$CB$18,0)))</f>
        <v>25069.329855280273</v>
      </c>
      <c r="BI41" s="28">
        <f>BI40*IF($CC$18=1,$BZ$18,IF($CC$18=2,$CA$18,IF($CC$18=3,$CB$18,0)))</f>
        <v>27108.92954969428</v>
      </c>
      <c r="BJ41" s="28">
        <f>BJ40*IF($CC$18=1,$BZ$18,IF($CC$18=2,$CA$18,IF($CC$18=3,$CB$18,0)))</f>
        <v>29339.443234735347</v>
      </c>
      <c r="BK41" s="28">
        <f>BK40*IF($CC$18=1,$BZ$18,IF($CC$18=2,$CA$18,IF($CC$18=3,$CB$18,0)))</f>
        <v>31780.240967578968</v>
      </c>
      <c r="BL41" s="28">
        <f>BL40*IF($CC$18=1,$BZ$18,IF($CC$18=2,$CA$18,IF($CC$18=3,$CB$18,0)))</f>
        <v>34452.73734646642</v>
      </c>
      <c r="BM41" s="28">
        <f>BM40*IF($CC$18=1,$BZ$18,IF($CC$18=2,$CA$18,IF($CC$18=3,$CB$18,0)))</f>
        <v>37380.61132176088</v>
      </c>
      <c r="BN41" s="28">
        <f>BN40*IF($CC$18=1,$BZ$18,IF($CC$18=2,$CA$18,IF($CC$18=3,$CB$18,0)))</f>
        <v>40590.049845862108</v>
      </c>
      <c r="BO41" s="28">
        <f>BO40*IF($CC$18=1,$BZ$18,IF($CC$18=2,$CA$18,IF($CC$18=3,$CB$18,0)))</f>
        <v>44110.017958819124</v>
      </c>
      <c r="BP41" s="28">
        <f>BP40*IF($CC$18=1,$BZ$18,IF($CC$18=2,$CA$18,IF($CC$18=3,$CB$18,0)))</f>
        <v>47972.558190072959</v>
      </c>
      <c r="BQ41" s="28">
        <f>BQ40*IF($CC$18=1,$BZ$18,IF($CC$18=2,$CA$18,IF($CC$18=3,$CB$18,0)))</f>
        <v>52213.1224713751</v>
      </c>
      <c r="BR41" s="28">
        <f>BR40*IF($CC$18=1,$BZ$18,IF($CC$18=2,$CA$18,IF($CC$18=3,$CB$18,0)))</f>
        <v>56870.94010495759</v>
      </c>
      <c r="BS41" s="28">
        <f>BS40*IF($CC$18=1,$BZ$18,IF($CC$18=2,$CA$18,IF($CC$18=3,$CB$18,0)))</f>
        <v>61989.425718247046</v>
      </c>
    </row>
    <row r="42" spans="1:162" x14ac:dyDescent="0.35">
      <c r="B42" s="9" t="s">
        <v>62</v>
      </c>
      <c r="C42" s="9">
        <f t="shared" ref="C42:F42" si="49">+C40-C41</f>
        <v>20065</v>
      </c>
      <c r="D42" s="9">
        <f t="shared" si="49"/>
        <v>13822</v>
      </c>
      <c r="E42" s="9">
        <f t="shared" si="49"/>
        <v>11519</v>
      </c>
      <c r="F42" s="9">
        <f t="shared" si="49"/>
        <v>14125</v>
      </c>
      <c r="G42" s="9">
        <f>G40-G41</f>
        <v>19965</v>
      </c>
      <c r="H42" s="9">
        <f>H40-H41</f>
        <v>10805</v>
      </c>
      <c r="I42" s="9">
        <f>I40-I41</f>
        <v>9310</v>
      </c>
      <c r="J42" s="9">
        <f>J40-J41</f>
        <v>12682</v>
      </c>
      <c r="K42" s="9">
        <f t="shared" ref="K42:N42" si="50">+K40-K41</f>
        <v>22236</v>
      </c>
      <c r="L42" s="9">
        <f t="shared" si="50"/>
        <v>11249</v>
      </c>
      <c r="M42" s="9">
        <f t="shared" si="50"/>
        <v>11253</v>
      </c>
      <c r="N42" s="9">
        <f t="shared" si="50"/>
        <v>12673</v>
      </c>
      <c r="O42" s="9">
        <f>+O40-O41</f>
        <v>28755</v>
      </c>
      <c r="P42" s="9">
        <f>+P40-P41</f>
        <v>23630</v>
      </c>
      <c r="Q42" s="9">
        <f>+Q40-Q41</f>
        <v>21744</v>
      </c>
      <c r="R42" s="9">
        <f t="shared" ref="R42:S42" si="51">+R40-R41</f>
        <v>20551</v>
      </c>
      <c r="S42" s="9">
        <f t="shared" si="51"/>
        <v>34630</v>
      </c>
      <c r="T42" s="9">
        <f>+T40-T41</f>
        <v>25010</v>
      </c>
      <c r="U42" s="9">
        <f t="shared" ref="U42:X42" si="52">+U40-U41</f>
        <v>19442</v>
      </c>
      <c r="V42" s="9">
        <f t="shared" si="52"/>
        <v>20721</v>
      </c>
      <c r="W42" s="9">
        <f t="shared" si="52"/>
        <v>29998</v>
      </c>
      <c r="X42" s="21">
        <f t="shared" si="52"/>
        <v>24160</v>
      </c>
      <c r="Y42" s="28">
        <f>Y40-Y41</f>
        <v>20987.558444766473</v>
      </c>
      <c r="Z42" s="28">
        <f>Z40-Z41</f>
        <v>23176.534015379988</v>
      </c>
      <c r="AA42" s="9"/>
      <c r="AC42" s="9"/>
      <c r="AD42" s="9"/>
      <c r="AE42" s="9">
        <f t="shared" ref="AE42:AX42" si="53">+AE40-AE41</f>
        <v>517</v>
      </c>
      <c r="AF42" s="28">
        <f t="shared" si="53"/>
        <v>-116</v>
      </c>
      <c r="AG42" s="28">
        <f t="shared" si="53"/>
        <v>96</v>
      </c>
      <c r="AH42" s="28">
        <f t="shared" si="53"/>
        <v>94</v>
      </c>
      <c r="AI42" s="28">
        <f t="shared" si="53"/>
        <v>299</v>
      </c>
      <c r="AJ42" s="28">
        <f t="shared" si="53"/>
        <v>1335</v>
      </c>
      <c r="AK42" s="28">
        <f t="shared" si="53"/>
        <v>1989</v>
      </c>
      <c r="AL42" s="28">
        <f t="shared" si="53"/>
        <v>3496</v>
      </c>
      <c r="AM42" s="28">
        <f t="shared" si="53"/>
        <v>6119</v>
      </c>
      <c r="AN42" s="28">
        <f t="shared" si="53"/>
        <v>8235</v>
      </c>
      <c r="AO42" s="28">
        <f t="shared" si="53"/>
        <v>14013</v>
      </c>
      <c r="AP42" s="28">
        <f t="shared" si="53"/>
        <v>25922</v>
      </c>
      <c r="AQ42" s="28">
        <f t="shared" si="53"/>
        <v>41733</v>
      </c>
      <c r="AR42" s="28">
        <f t="shared" si="53"/>
        <v>37037</v>
      </c>
      <c r="AS42" s="28">
        <f t="shared" si="53"/>
        <v>39510</v>
      </c>
      <c r="AT42" s="28">
        <f t="shared" si="53"/>
        <v>53394</v>
      </c>
      <c r="AU42" s="28">
        <f t="shared" si="53"/>
        <v>45687</v>
      </c>
      <c r="AV42" s="28">
        <f t="shared" si="53"/>
        <v>48351</v>
      </c>
      <c r="AW42" s="28">
        <f t="shared" si="53"/>
        <v>59531</v>
      </c>
      <c r="AX42" s="28">
        <f t="shared" si="53"/>
        <v>55256</v>
      </c>
      <c r="AY42" s="28">
        <f>+AY40-AY41</f>
        <v>57411</v>
      </c>
      <c r="AZ42" s="28">
        <f>+AZ40-AZ41</f>
        <v>94680</v>
      </c>
      <c r="BA42" s="35">
        <f>+BA40-BA41</f>
        <v>99803</v>
      </c>
      <c r="BB42" s="53">
        <f t="shared" si="0"/>
        <v>98322.092460146465</v>
      </c>
      <c r="BC42" s="28">
        <f>BC40-BC41</f>
        <v>97335.093935671117</v>
      </c>
      <c r="BD42" s="28">
        <f t="shared" ref="BD42:BS42" si="54">BD40-BD41</f>
        <v>104797.35579587422</v>
      </c>
      <c r="BE42" s="28">
        <f t="shared" si="54"/>
        <v>112930.72507449044</v>
      </c>
      <c r="BF42" s="28">
        <f t="shared" si="54"/>
        <v>121801.85172145496</v>
      </c>
      <c r="BG42" s="28">
        <f t="shared" si="54"/>
        <v>131484.34849122982</v>
      </c>
      <c r="BH42" s="28">
        <f t="shared" si="54"/>
        <v>142059.5358465882</v>
      </c>
      <c r="BI42" s="28">
        <f t="shared" si="54"/>
        <v>153617.26744826761</v>
      </c>
      <c r="BJ42" s="28">
        <f t="shared" si="54"/>
        <v>166256.84499683365</v>
      </c>
      <c r="BK42" s="28">
        <f t="shared" si="54"/>
        <v>180088.03214961418</v>
      </c>
      <c r="BL42" s="28">
        <f t="shared" si="54"/>
        <v>195232.17829664305</v>
      </c>
      <c r="BM42" s="28">
        <f t="shared" si="54"/>
        <v>211823.464156645</v>
      </c>
      <c r="BN42" s="28">
        <f t="shared" si="54"/>
        <v>230010.28245988526</v>
      </c>
      <c r="BO42" s="28">
        <f t="shared" si="54"/>
        <v>249956.7684333084</v>
      </c>
      <c r="BP42" s="28">
        <f t="shared" si="54"/>
        <v>271844.49641041347</v>
      </c>
      <c r="BQ42" s="28">
        <f t="shared" si="54"/>
        <v>295874.36067112559</v>
      </c>
      <c r="BR42" s="28">
        <f t="shared" si="54"/>
        <v>322268.66059475968</v>
      </c>
      <c r="BS42" s="28">
        <f t="shared" si="54"/>
        <v>351273.41240339994</v>
      </c>
      <c r="BT42" s="28">
        <f>BS42*(1+$BZ$23)</f>
        <v>347760.67827936594</v>
      </c>
      <c r="BU42" s="28">
        <f>BT42*(1+$BZ$23)</f>
        <v>344283.07149657229</v>
      </c>
      <c r="BV42" s="28">
        <f>BU42*(1+$BZ$23)</f>
        <v>340840.24078160658</v>
      </c>
      <c r="BW42" s="28">
        <f>BV42*(1+$BZ$23)</f>
        <v>337431.8383737905</v>
      </c>
      <c r="BX42" s="28">
        <f>BW42*(1+$BZ$23)</f>
        <v>334057.51999005256</v>
      </c>
      <c r="BY42" s="28">
        <f>BX42*(1+$BZ$23)</f>
        <v>330716.94479015202</v>
      </c>
      <c r="BZ42" s="28">
        <f>BY42*(1+$BZ$23)</f>
        <v>327409.77534225048</v>
      </c>
      <c r="CA42" s="28">
        <f>BZ42*(1+$BZ$23)</f>
        <v>324135.67758882797</v>
      </c>
      <c r="CB42" s="28">
        <f>CA42*(1+$BZ$23)</f>
        <v>320894.32081293967</v>
      </c>
      <c r="CC42" s="28">
        <f>CB42*(1+$BZ$23)</f>
        <v>317685.37760481029</v>
      </c>
      <c r="CD42" s="28">
        <f>CC42*(1+$BZ$23)</f>
        <v>314508.52382876218</v>
      </c>
      <c r="CE42" s="28">
        <f>CD42*(1+$BZ$23)</f>
        <v>311363.43859047454</v>
      </c>
      <c r="CF42" s="28">
        <f>CE42*(1+$BZ$23)</f>
        <v>308249.80420456978</v>
      </c>
      <c r="CG42" s="28">
        <f>CF42*(1+$BZ$23)</f>
        <v>305167.3061625241</v>
      </c>
      <c r="CH42" s="28">
        <f>CG42*(1+$BZ$23)</f>
        <v>302115.63310089888</v>
      </c>
      <c r="CI42" s="28">
        <f>CH42*(1+$BZ$23)</f>
        <v>299094.47676988988</v>
      </c>
      <c r="CJ42" s="28">
        <f>CI42*(1+$BZ$23)</f>
        <v>296103.532002191</v>
      </c>
      <c r="CK42" s="28">
        <f>CJ42*(1+$BZ$23)</f>
        <v>293142.49668216909</v>
      </c>
      <c r="CL42" s="28">
        <f>CK42*(1+$BZ$23)</f>
        <v>290211.07171534741</v>
      </c>
      <c r="CM42" s="28">
        <f>CL42*(1+$BZ$23)</f>
        <v>287308.96099819394</v>
      </c>
      <c r="CN42" s="28">
        <f>CM42*(1+$BZ$23)</f>
        <v>284435.87138821202</v>
      </c>
      <c r="CO42" s="28">
        <f>CN42*(1+$BZ$23)</f>
        <v>281591.51267432992</v>
      </c>
      <c r="CP42" s="28">
        <f>CO42*(1+$BZ$23)</f>
        <v>278775.5975475866</v>
      </c>
      <c r="CQ42" s="28">
        <f>CP42*(1+$BZ$23)</f>
        <v>275987.84157211072</v>
      </c>
      <c r="CR42" s="28">
        <f>CQ42*(1+$BZ$23)</f>
        <v>273227.9631563896</v>
      </c>
      <c r="CS42" s="28">
        <f>CR42*(1+$BZ$23)</f>
        <v>270495.68352482573</v>
      </c>
      <c r="CT42" s="28">
        <f>CS42*(1+$BZ$23)</f>
        <v>267790.72668957745</v>
      </c>
      <c r="CU42" s="28">
        <f>CT42*(1+$BZ$23)</f>
        <v>265112.8194226817</v>
      </c>
      <c r="CV42" s="28">
        <f>CU42*(1+$BZ$23)</f>
        <v>262461.69122845487</v>
      </c>
      <c r="CW42" s="28">
        <f>CV42*(1+$BZ$23)</f>
        <v>259837.07431617033</v>
      </c>
      <c r="CX42" s="28">
        <f>CW42*(1+$BZ$23)</f>
        <v>257238.70357300862</v>
      </c>
      <c r="CY42" s="28">
        <f>CX42*(1+$BZ$23)</f>
        <v>254666.31653727853</v>
      </c>
      <c r="CZ42" s="28">
        <f>CY42*(1+$BZ$23)</f>
        <v>252119.65337190573</v>
      </c>
      <c r="DA42" s="28">
        <f>CZ42*(1+$BZ$23)</f>
        <v>249598.45683818668</v>
      </c>
      <c r="DB42" s="28">
        <f>DA42*(1+$BZ$23)</f>
        <v>247102.47226980483</v>
      </c>
      <c r="DC42" s="28">
        <f>DB42*(1+$BZ$23)</f>
        <v>244631.44754710677</v>
      </c>
      <c r="DD42" s="28">
        <f>DC42*(1+$BZ$23)</f>
        <v>242185.1330716357</v>
      </c>
      <c r="DE42" s="28">
        <f>DD42*(1+$BZ$23)</f>
        <v>239763.28174091934</v>
      </c>
      <c r="DF42" s="28">
        <f>DE42*(1+$BZ$23)</f>
        <v>237365.64892351013</v>
      </c>
      <c r="DG42" s="28">
        <f>DF42*(1+$BZ$23)</f>
        <v>234991.99243427502</v>
      </c>
      <c r="DH42" s="28">
        <f>DG42*(1+$BZ$23)</f>
        <v>232642.07250993227</v>
      </c>
      <c r="DI42" s="28">
        <f>DH42*(1+$BZ$23)</f>
        <v>230315.65178483294</v>
      </c>
      <c r="DJ42" s="28">
        <f>DI42*(1+$BZ$23)</f>
        <v>228012.4952669846</v>
      </c>
      <c r="DK42" s="28">
        <f>DJ42*(1+$BZ$23)</f>
        <v>225732.37031431476</v>
      </c>
      <c r="DL42" s="28">
        <f>DK42*(1+$BZ$23)</f>
        <v>223475.04661117159</v>
      </c>
      <c r="DM42" s="28">
        <f>DL42*(1+$BZ$23)</f>
        <v>221240.29614505987</v>
      </c>
      <c r="DN42" s="28">
        <f>DM42*(1+$BZ$23)</f>
        <v>219027.89318360927</v>
      </c>
      <c r="DO42" s="28">
        <f>DN42*(1+$BZ$23)</f>
        <v>216837.61425177316</v>
      </c>
      <c r="DP42" s="28">
        <f>DO42*(1+$BZ$23)</f>
        <v>214669.23810925544</v>
      </c>
      <c r="DQ42" s="28">
        <f>DP42*(1+$BZ$23)</f>
        <v>212522.54572816289</v>
      </c>
      <c r="DR42" s="28">
        <f>DQ42*(1+$BZ$23)</f>
        <v>210397.32027088126</v>
      </c>
      <c r="DS42" s="28">
        <f>DR42*(1+$BZ$23)</f>
        <v>208293.34706817244</v>
      </c>
      <c r="DT42" s="28">
        <f>DS42*(1+$BZ$23)</f>
        <v>206210.41359749073</v>
      </c>
      <c r="DU42" s="28">
        <f>DT42*(1+$BZ$23)</f>
        <v>204148.3094615158</v>
      </c>
      <c r="DV42" s="28">
        <f>DU42*(1+$BZ$23)</f>
        <v>202106.82636690064</v>
      </c>
      <c r="DW42" s="28">
        <f>DV42*(1+$BZ$23)</f>
        <v>200085.75810323164</v>
      </c>
      <c r="DX42" s="28">
        <f>DW42*(1+$BZ$23)</f>
        <v>198084.90052219931</v>
      </c>
      <c r="DY42" s="28">
        <f>DX42*(1+$BZ$23)</f>
        <v>196104.05151697731</v>
      </c>
      <c r="DZ42" s="28">
        <f>DY42*(1+$BZ$23)</f>
        <v>194143.01100180755</v>
      </c>
      <c r="EA42" s="28">
        <f>DZ42*(1+$BZ$23)</f>
        <v>192201.58089178946</v>
      </c>
      <c r="EB42" s="28">
        <f>EA42*(1+$BZ$23)</f>
        <v>190279.56508287156</v>
      </c>
      <c r="EC42" s="28">
        <f>EB42*(1+$BZ$23)</f>
        <v>188376.76943204284</v>
      </c>
      <c r="ED42" s="28">
        <f>EC42*(1+$BZ$23)</f>
        <v>186493.0017377224</v>
      </c>
      <c r="EE42" s="28">
        <f>ED42*(1+$BZ$23)</f>
        <v>184628.07172034518</v>
      </c>
      <c r="EF42" s="28">
        <f>EE42*(1+$BZ$23)</f>
        <v>182781.79100314173</v>
      </c>
      <c r="EG42" s="28">
        <f>EF42*(1+$BZ$23)</f>
        <v>180953.97309311031</v>
      </c>
      <c r="EH42" s="28">
        <f>EG42*(1+$BZ$23)</f>
        <v>179144.4333621792</v>
      </c>
      <c r="EI42" s="28">
        <f>EH42*(1+$BZ$23)</f>
        <v>177352.98902855741</v>
      </c>
      <c r="EJ42" s="28">
        <f>EI42*(1+$BZ$23)</f>
        <v>175579.45913827184</v>
      </c>
      <c r="EK42" s="28">
        <f>EJ42*(1+$BZ$23)</f>
        <v>173823.66454688911</v>
      </c>
      <c r="EL42" s="28">
        <f>EK42*(1+$BZ$23)</f>
        <v>172085.42790142022</v>
      </c>
      <c r="EM42" s="28">
        <f>EL42*(1+$BZ$23)</f>
        <v>170364.57362240602</v>
      </c>
      <c r="EN42" s="28">
        <f>EM42*(1+$BZ$23)</f>
        <v>168660.92788618195</v>
      </c>
      <c r="EO42" s="28">
        <f>EN42*(1+$BZ$23)</f>
        <v>166974.31860732014</v>
      </c>
      <c r="EP42" s="28">
        <f>EO42*(1+$BZ$23)</f>
        <v>165304.57542124693</v>
      </c>
      <c r="EQ42" s="28">
        <f>EP42*(1+$BZ$23)</f>
        <v>163651.52966703445</v>
      </c>
      <c r="ER42" s="28">
        <f>EQ42*(1+$BZ$23)</f>
        <v>162015.01437036411</v>
      </c>
      <c r="ES42" s="28">
        <f>ER42*(1+$BZ$23)</f>
        <v>160394.86422666046</v>
      </c>
      <c r="ET42" s="28">
        <f>ES42*(1+$BZ$23)</f>
        <v>158790.91558439386</v>
      </c>
      <c r="EU42" s="28">
        <f>ET42*(1+$BZ$23)</f>
        <v>157203.00642854991</v>
      </c>
      <c r="EV42" s="28">
        <f>EU42*(1+$BZ$23)</f>
        <v>155630.97636426441</v>
      </c>
      <c r="EW42" s="28">
        <f>EV42*(1+$BZ$23)</f>
        <v>154074.66660062177</v>
      </c>
      <c r="EX42" s="28">
        <f>EW42*(1+$BZ$23)</f>
        <v>152533.91993461555</v>
      </c>
      <c r="EY42" s="28">
        <f>EX42*(1+$BZ$23)</f>
        <v>151008.58073526938</v>
      </c>
      <c r="EZ42" s="28">
        <f>EY42*(1+$BZ$23)</f>
        <v>149498.49492791668</v>
      </c>
      <c r="FA42" s="28">
        <f>EZ42*(1+$BZ$23)</f>
        <v>148003.50997863751</v>
      </c>
      <c r="FB42" s="28">
        <f>FA42*(1+$BZ$23)</f>
        <v>146523.47487885112</v>
      </c>
      <c r="FC42" s="28">
        <f>FB42*(1+$BZ$23)</f>
        <v>145058.24013006262</v>
      </c>
      <c r="FD42" s="28">
        <f>FC42*(1+$BZ$23)</f>
        <v>143607.65772876199</v>
      </c>
      <c r="FE42" s="28">
        <f>FD42*(1+$BZ$23)</f>
        <v>142171.58115147435</v>
      </c>
      <c r="FF42" s="28">
        <f>FE42*(1+$BZ$23)</f>
        <v>140749.86533995962</v>
      </c>
    </row>
    <row r="43" spans="1:162" x14ac:dyDescent="0.35">
      <c r="B43" s="11" t="s">
        <v>63</v>
      </c>
      <c r="C43" s="14">
        <f t="shared" ref="C43:F43" si="55">+C42/C44</f>
        <v>0.97255857987156114</v>
      </c>
      <c r="D43" s="14">
        <f t="shared" si="55"/>
        <v>0.68176083107937602</v>
      </c>
      <c r="E43" s="14">
        <f t="shared" si="55"/>
        <v>0.58452984598534197</v>
      </c>
      <c r="F43" s="14">
        <f>+F42/F44</f>
        <v>0.70623460408563088</v>
      </c>
      <c r="G43" s="14">
        <f>G42/G44</f>
        <v>1.0456709693246804</v>
      </c>
      <c r="H43" s="14">
        <f>H42/H44</f>
        <v>0.57465505804946815</v>
      </c>
      <c r="I43" s="14">
        <f>I42/I44</f>
        <v>0.50583442794961786</v>
      </c>
      <c r="J43" s="14">
        <f>J42/J44</f>
        <v>0.68198738070598441</v>
      </c>
      <c r="K43" s="14">
        <f>+K42/K44</f>
        <v>1.2479223042091785</v>
      </c>
      <c r="L43" s="14">
        <f t="shared" ref="K43:N43" si="56">+L42/L44</f>
        <v>0.63846699811252383</v>
      </c>
      <c r="M43" s="14">
        <f t="shared" si="56"/>
        <v>0.64601300384622584</v>
      </c>
      <c r="N43" s="14">
        <f t="shared" si="56"/>
        <v>0.73438904632051849</v>
      </c>
      <c r="O43" s="14">
        <f>+O42/O44</f>
        <v>1.6802339741147556</v>
      </c>
      <c r="P43" s="14">
        <f>+P42/P44</f>
        <v>1.3958166966021994</v>
      </c>
      <c r="Q43" s="14">
        <f>+Q42/Q44</f>
        <v>1.2956943963183782</v>
      </c>
      <c r="R43" s="14">
        <f t="shared" ref="R43:S43" si="57">+R42/R44</f>
        <v>1.2354000701047909</v>
      </c>
      <c r="S43" s="14">
        <f t="shared" si="57"/>
        <v>2.0963369432743812</v>
      </c>
      <c r="T43" s="14">
        <f>+T42/T44</f>
        <v>1.5246917147727936</v>
      </c>
      <c r="U43" s="14">
        <f t="shared" ref="U43:X43" si="58">+U42/U44</f>
        <v>1.1955329791418789</v>
      </c>
      <c r="V43" s="14">
        <f t="shared" si="58"/>
        <v>1.2855442500262897</v>
      </c>
      <c r="W43" s="14">
        <f t="shared" si="58"/>
        <v>1.8800783518485347</v>
      </c>
      <c r="X43" s="23">
        <f>+X42/X44</f>
        <v>1.5245739743359175</v>
      </c>
      <c r="Y43" s="38">
        <f>Y42/Y44</f>
        <v>1.3243826734165964</v>
      </c>
      <c r="Z43" s="38">
        <f>Z42/Z44</f>
        <v>1.4625140966539507</v>
      </c>
      <c r="AC43" s="11"/>
      <c r="AD43" s="11"/>
      <c r="AE43" s="45">
        <f t="shared" ref="AE43:AX43" si="59">+AE42/AE44</f>
        <v>1.4348197733151276</v>
      </c>
      <c r="AF43" s="45">
        <f t="shared" si="59"/>
        <v>-0.33563552296933274</v>
      </c>
      <c r="AG43" s="45">
        <f t="shared" si="59"/>
        <v>0.26535096811642273</v>
      </c>
      <c r="AH43" s="45">
        <f t="shared" si="59"/>
        <v>0.12931058200767059</v>
      </c>
      <c r="AI43" s="45">
        <f t="shared" si="59"/>
        <v>0.38599471742346592</v>
      </c>
      <c r="AJ43" s="45">
        <f t="shared" si="59"/>
        <v>1.5581596209061837</v>
      </c>
      <c r="AK43" s="45">
        <f t="shared" si="59"/>
        <v>2.266599508162721</v>
      </c>
      <c r="AL43" s="45">
        <f t="shared" si="59"/>
        <v>3.9312171930029729</v>
      </c>
      <c r="AM43" s="45">
        <f t="shared" si="59"/>
        <v>6.7827685090656757</v>
      </c>
      <c r="AN43" s="45">
        <f t="shared" si="59"/>
        <v>9.0793325284866118</v>
      </c>
      <c r="AO43" s="45">
        <f t="shared" si="59"/>
        <v>15.15390737872981</v>
      </c>
      <c r="AP43" s="45">
        <f t="shared" si="59"/>
        <v>27.675373273759003</v>
      </c>
      <c r="AQ43" s="45">
        <f t="shared" si="59"/>
        <v>6.3064763445557777</v>
      </c>
      <c r="AR43" s="45">
        <f t="shared" si="59"/>
        <v>5.6790982137298718</v>
      </c>
      <c r="AS43" s="45">
        <f t="shared" si="59"/>
        <v>6.4530744220284548</v>
      </c>
      <c r="AT43" s="45">
        <f t="shared" si="59"/>
        <v>9.216876236067618</v>
      </c>
      <c r="AU43" s="45">
        <f t="shared" si="59"/>
        <v>8.3063028961611227</v>
      </c>
      <c r="AV43" s="45">
        <f t="shared" si="59"/>
        <v>9.2067470826545037</v>
      </c>
      <c r="AW43" s="45">
        <f t="shared" si="59"/>
        <v>2.9764851126245446</v>
      </c>
      <c r="AX43" s="45">
        <f t="shared" si="59"/>
        <v>2.9714474637107351</v>
      </c>
      <c r="AY43" s="46">
        <f>+AY42/AY44</f>
        <v>3.2753479151477172</v>
      </c>
      <c r="AZ43" s="46">
        <f>+AZ42/AZ44</f>
        <v>5.6140203576723327</v>
      </c>
      <c r="BA43" s="47">
        <f>+BA42/BA44</f>
        <v>6.1132002950847406</v>
      </c>
      <c r="BB43" s="55">
        <f>SUM(W43:Z43)</f>
        <v>6.1915490962549988</v>
      </c>
      <c r="BC43" s="60">
        <f>BC42/BC44</f>
        <v>5.9620344575778841</v>
      </c>
      <c r="BD43" s="60">
        <f t="shared" ref="BD43:BS43" si="60">BD42/BD44</f>
        <v>6.4191179260687434</v>
      </c>
      <c r="BE43" s="60">
        <f t="shared" si="60"/>
        <v>6.9173085162721426</v>
      </c>
      <c r="BF43" s="60">
        <f t="shared" si="60"/>
        <v>7.4606887156244426</v>
      </c>
      <c r="BG43" s="60">
        <f t="shared" si="60"/>
        <v>8.0537675019349209</v>
      </c>
      <c r="BH43" s="60">
        <f t="shared" si="60"/>
        <v>8.7015259707319839</v>
      </c>
      <c r="BI43" s="60">
        <f t="shared" si="60"/>
        <v>9.4094678987090674</v>
      </c>
      <c r="BJ43" s="60">
        <f t="shared" si="60"/>
        <v>10.183675780232072</v>
      </c>
      <c r="BK43" s="60">
        <f t="shared" si="60"/>
        <v>11.030872932459461</v>
      </c>
      <c r="BL43" s="60">
        <f t="shared" si="60"/>
        <v>11.958492329620102</v>
      </c>
      <c r="BM43" s="60">
        <f t="shared" si="60"/>
        <v>12.974752899093957</v>
      </c>
      <c r="BN43" s="60">
        <f t="shared" si="60"/>
        <v>14.08874409192404</v>
      </c>
      <c r="BO43" s="60">
        <f t="shared" si="60"/>
        <v>15.310519629118653</v>
      </c>
      <c r="BP43" s="60">
        <f t="shared" si="60"/>
        <v>16.65120142353739</v>
      </c>
      <c r="BQ43" s="60">
        <f t="shared" si="60"/>
        <v>18.123094786356461</v>
      </c>
      <c r="BR43" s="60">
        <f t="shared" si="60"/>
        <v>19.739816148256555</v>
      </c>
      <c r="BS43" s="60">
        <f t="shared" si="60"/>
        <v>21.516434659878843</v>
      </c>
    </row>
    <row r="44" spans="1:162" x14ac:dyDescent="0.35">
      <c r="A44" t="s">
        <v>25</v>
      </c>
      <c r="B44" s="9" t="s">
        <v>64</v>
      </c>
      <c r="C44" s="9">
        <f>5157.787*4</f>
        <v>20631.148000000001</v>
      </c>
      <c r="D44" s="9">
        <f>5068.493*4</f>
        <v>20273.972000000002</v>
      </c>
      <c r="E44" s="9">
        <f>4926.609*4</f>
        <v>19706.436000000002</v>
      </c>
      <c r="F44" s="9">
        <f>5000.109*4</f>
        <v>20000.436000000002</v>
      </c>
      <c r="G44" s="9">
        <f>4773.251*4</f>
        <v>19093.004000000001</v>
      </c>
      <c r="H44" s="9">
        <f>4700.646*4</f>
        <v>18802.583999999999</v>
      </c>
      <c r="I44" s="9">
        <f>4601.308*4</f>
        <v>18405.232</v>
      </c>
      <c r="J44" s="9">
        <f>4648.913*4</f>
        <v>18595.651999999998</v>
      </c>
      <c r="K44" s="9">
        <v>17818.417000000001</v>
      </c>
      <c r="L44" s="9">
        <v>17618.764999999999</v>
      </c>
      <c r="M44" s="9">
        <v>17419.153999999999</v>
      </c>
      <c r="N44" s="9">
        <v>17256.521000000001</v>
      </c>
      <c r="O44" s="9">
        <v>17113.687999999998</v>
      </c>
      <c r="P44" s="9">
        <v>16929.156999999999</v>
      </c>
      <c r="Q44" s="9">
        <v>16781.735000000001</v>
      </c>
      <c r="R44" s="9">
        <v>16635.097000000002</v>
      </c>
      <c r="S44" s="9">
        <v>16519.291000000001</v>
      </c>
      <c r="T44" s="9">
        <v>16403.315999999999</v>
      </c>
      <c r="U44" s="9">
        <v>16262.203</v>
      </c>
      <c r="V44" s="9">
        <v>16118.465</v>
      </c>
      <c r="W44" s="9">
        <v>15955.718000000001</v>
      </c>
      <c r="X44" s="21">
        <v>15847.05</v>
      </c>
      <c r="Y44" s="28">
        <f>X44</f>
        <v>15847.05</v>
      </c>
      <c r="Z44" s="28">
        <f>Y44</f>
        <v>15847.05</v>
      </c>
      <c r="AC44" s="9"/>
      <c r="AD44" s="9"/>
      <c r="AE44" s="9">
        <v>360.32400000000001</v>
      </c>
      <c r="AF44" s="28">
        <v>345.613</v>
      </c>
      <c r="AG44" s="28">
        <v>361.78500000000003</v>
      </c>
      <c r="AH44" s="28">
        <v>726.93200000000002</v>
      </c>
      <c r="AI44" s="28">
        <v>774.62199999999996</v>
      </c>
      <c r="AJ44" s="28">
        <v>856.78</v>
      </c>
      <c r="AK44" s="28">
        <v>877.52599999999995</v>
      </c>
      <c r="AL44" s="28">
        <v>889.29200000000003</v>
      </c>
      <c r="AM44" s="28">
        <v>902.13900000000001</v>
      </c>
      <c r="AN44" s="28">
        <v>907.005</v>
      </c>
      <c r="AO44" s="28">
        <v>924.71199999999999</v>
      </c>
      <c r="AP44" s="28">
        <v>936.64499999999998</v>
      </c>
      <c r="AQ44" s="28">
        <v>6617.4830000000002</v>
      </c>
      <c r="AR44" s="28">
        <v>6521.634</v>
      </c>
      <c r="AS44" s="28">
        <v>6122.6629999999996</v>
      </c>
      <c r="AT44" s="28">
        <v>5793.0690000000004</v>
      </c>
      <c r="AU44" s="28">
        <v>5500.2809999999999</v>
      </c>
      <c r="AV44" s="28">
        <v>5251.692</v>
      </c>
      <c r="AW44" s="28">
        <f>5000.109*4</f>
        <v>20000.436000000002</v>
      </c>
      <c r="AX44" s="28">
        <v>18595.651000000002</v>
      </c>
      <c r="AY44" s="28">
        <f>AVERAGE(K44:N44)</f>
        <v>17528.214249999997</v>
      </c>
      <c r="AZ44" s="28">
        <f>AVERAGE(O44:R44)</f>
        <v>16864.919249999999</v>
      </c>
      <c r="BA44" s="35">
        <f>AVERAGE(S44:V44)</f>
        <v>16325.818750000002</v>
      </c>
      <c r="BB44" s="56">
        <f>BA44</f>
        <v>16325.818750000002</v>
      </c>
      <c r="BC44" s="44">
        <f>BB44</f>
        <v>16325.818750000002</v>
      </c>
      <c r="BD44" s="44">
        <f t="shared" ref="BD44:BS44" si="61">BC44</f>
        <v>16325.818750000002</v>
      </c>
      <c r="BE44" s="44">
        <f t="shared" si="61"/>
        <v>16325.818750000002</v>
      </c>
      <c r="BF44" s="44">
        <f t="shared" si="61"/>
        <v>16325.818750000002</v>
      </c>
      <c r="BG44" s="44">
        <f t="shared" si="61"/>
        <v>16325.818750000002</v>
      </c>
      <c r="BH44" s="44">
        <f t="shared" si="61"/>
        <v>16325.818750000002</v>
      </c>
      <c r="BI44" s="44">
        <f t="shared" si="61"/>
        <v>16325.818750000002</v>
      </c>
      <c r="BJ44" s="44">
        <f t="shared" si="61"/>
        <v>16325.818750000002</v>
      </c>
      <c r="BK44" s="44">
        <f t="shared" si="61"/>
        <v>16325.818750000002</v>
      </c>
      <c r="BL44" s="44">
        <f t="shared" si="61"/>
        <v>16325.818750000002</v>
      </c>
      <c r="BM44" s="44">
        <f t="shared" si="61"/>
        <v>16325.818750000002</v>
      </c>
      <c r="BN44" s="44">
        <f t="shared" si="61"/>
        <v>16325.818750000002</v>
      </c>
      <c r="BO44" s="44">
        <f t="shared" si="61"/>
        <v>16325.818750000002</v>
      </c>
      <c r="BP44" s="44">
        <f t="shared" si="61"/>
        <v>16325.818750000002</v>
      </c>
      <c r="BQ44" s="44">
        <f t="shared" si="61"/>
        <v>16325.818750000002</v>
      </c>
      <c r="BR44" s="44">
        <f t="shared" si="61"/>
        <v>16325.818750000002</v>
      </c>
      <c r="BS44" s="44">
        <f t="shared" si="61"/>
        <v>16325.818750000002</v>
      </c>
    </row>
    <row r="45" spans="1:162" x14ac:dyDescent="0.35">
      <c r="F45" s="30"/>
      <c r="G45" s="30"/>
      <c r="X45" s="24"/>
      <c r="BA45" s="24"/>
    </row>
    <row r="46" spans="1:162" x14ac:dyDescent="0.35">
      <c r="A46" t="s">
        <v>25</v>
      </c>
      <c r="B46" s="10" t="s">
        <v>65</v>
      </c>
      <c r="C46" s="11"/>
      <c r="D46" s="11"/>
      <c r="E46" s="11"/>
      <c r="F46" s="11"/>
      <c r="G46" s="29">
        <f>G30/C30-1</f>
        <v>-4.5111163965433243E-2</v>
      </c>
      <c r="H46" s="29">
        <f>H30/D30-1</f>
        <v>-5.1065639465462831E-2</v>
      </c>
      <c r="I46" s="29">
        <f>I30/E30-1</f>
        <v>1.0213085515817122E-2</v>
      </c>
      <c r="J46" s="29">
        <f>J30/F30-1</f>
        <v>1.8124006359300449E-2</v>
      </c>
      <c r="K46" s="29">
        <f t="shared" ref="H46:N46" si="62">K30/G30-1</f>
        <v>8.9064167951607098E-2</v>
      </c>
      <c r="L46" s="29">
        <f t="shared" si="62"/>
        <v>5.1366026027750422E-3</v>
      </c>
      <c r="M46" s="29">
        <f>M30/I30-1</f>
        <v>0.10920106301919752</v>
      </c>
      <c r="N46" s="29">
        <f t="shared" si="62"/>
        <v>1.0274828232354816E-2</v>
      </c>
      <c r="O46" s="15">
        <f>O30/K30-1</f>
        <v>0.21368126422635836</v>
      </c>
      <c r="P46" s="15">
        <f t="shared" ref="P46:R46" si="63">P30/L30-1</f>
        <v>0.53626121105070901</v>
      </c>
      <c r="Q46" s="15">
        <f t="shared" si="63"/>
        <v>0.36439641450950822</v>
      </c>
      <c r="R46" s="15">
        <f t="shared" si="63"/>
        <v>0.28844786546724777</v>
      </c>
      <c r="S46" s="15">
        <f>S30/O30-1</f>
        <v>0.11222283042740866</v>
      </c>
      <c r="T46" s="15">
        <f>T30/P30-1</f>
        <v>8.5885872477228009E-2</v>
      </c>
      <c r="U46" s="15">
        <f>U30/Q30-1</f>
        <v>1.8726821720657316E-2</v>
      </c>
      <c r="V46" s="15">
        <f>V30/R30-1</f>
        <v>8.1405950095969182E-2</v>
      </c>
      <c r="W46" s="15">
        <f t="shared" ref="W46:X46" si="64">W30/S30-1</f>
        <v>-5.4790431239662762E-2</v>
      </c>
      <c r="X46" s="25">
        <f t="shared" si="64"/>
        <v>-2.5103312156911084E-2</v>
      </c>
      <c r="Y46" s="16">
        <f>Y30/U30-1</f>
        <v>-1.4784992800542796E-4</v>
      </c>
      <c r="Z46" s="16">
        <f>Z30/V30-1</f>
        <v>2.8737123953975985E-2</v>
      </c>
      <c r="AB46" s="16"/>
      <c r="AC46" s="11"/>
      <c r="AD46" s="11"/>
      <c r="AE46" s="15">
        <f t="shared" ref="AE46:AW46" si="65">+AE30/AD30-1</f>
        <v>0.30143462667101395</v>
      </c>
      <c r="AF46" s="15">
        <f t="shared" si="65"/>
        <v>-0.32819741951647252</v>
      </c>
      <c r="AG46" s="15">
        <f t="shared" si="65"/>
        <v>7.0669401454409808E-2</v>
      </c>
      <c r="AH46" s="15">
        <f t="shared" si="65"/>
        <v>8.0982236154649945E-2</v>
      </c>
      <c r="AI46" s="15">
        <f t="shared" si="65"/>
        <v>0.33381665861124543</v>
      </c>
      <c r="AJ46" s="15">
        <f t="shared" si="65"/>
        <v>0.68269114627370464</v>
      </c>
      <c r="AK46" s="15">
        <f t="shared" si="65"/>
        <v>0.38647620414902017</v>
      </c>
      <c r="AL46" s="15">
        <f t="shared" si="65"/>
        <v>0.24286823712140815</v>
      </c>
      <c r="AM46" s="15">
        <f t="shared" si="65"/>
        <v>0.56173456635841035</v>
      </c>
      <c r="AN46" s="15">
        <f t="shared" si="65"/>
        <v>0.14440799125123371</v>
      </c>
      <c r="AO46" s="15">
        <f t="shared" si="65"/>
        <v>0.52021908868430256</v>
      </c>
      <c r="AP46" s="15">
        <f t="shared" si="65"/>
        <v>0.65962437715599842</v>
      </c>
      <c r="AQ46" s="15">
        <f t="shared" si="65"/>
        <v>0.44581474193756976</v>
      </c>
      <c r="AR46" s="15">
        <f t="shared" si="65"/>
        <v>9.2020855163953197E-2</v>
      </c>
      <c r="AS46" s="15">
        <f t="shared" si="65"/>
        <v>6.9539523725937524E-2</v>
      </c>
      <c r="AT46" s="15">
        <f t="shared" si="65"/>
        <v>0.27856341803659834</v>
      </c>
      <c r="AU46" s="15">
        <f t="shared" si="65"/>
        <v>-7.7342061913013738E-2</v>
      </c>
      <c r="AV46" s="15">
        <f t="shared" si="65"/>
        <v>6.304518199398057E-2</v>
      </c>
      <c r="AW46" s="15">
        <f t="shared" si="65"/>
        <v>0.15861957650261305</v>
      </c>
      <c r="AX46" s="15">
        <f>+AX30/AW30-1</f>
        <v>-2.04107758052674E-2</v>
      </c>
      <c r="AY46" s="15">
        <f>+AY30/AX30-1</f>
        <v>5.5120803769784787E-2</v>
      </c>
      <c r="AZ46" s="15">
        <f t="shared" ref="AZ46:BB46" si="66">+AZ30/AY30-1</f>
        <v>0.33259384733074704</v>
      </c>
      <c r="BA46" s="25">
        <f t="shared" si="66"/>
        <v>7.7937876041846099E-2</v>
      </c>
      <c r="BB46" s="39">
        <f>+BB30/BA30-1</f>
        <v>-1.6876125221192195E-2</v>
      </c>
      <c r="BC46" s="39">
        <f t="shared" ref="BC46:BS46" si="67">+BC30/BB30-1</f>
        <v>6.2651555168748096E-2</v>
      </c>
      <c r="BD46" s="39">
        <f t="shared" si="67"/>
        <v>6.3402396842714426E-2</v>
      </c>
      <c r="BE46" s="39">
        <f t="shared" si="67"/>
        <v>6.4169989140084205E-2</v>
      </c>
      <c r="BF46" s="39">
        <f t="shared" si="67"/>
        <v>6.4953652589859745E-2</v>
      </c>
      <c r="BG46" s="39">
        <f t="shared" si="67"/>
        <v>6.5752626057209662E-2</v>
      </c>
      <c r="BH46" s="39">
        <f t="shared" si="67"/>
        <v>6.6566068052025251E-2</v>
      </c>
      <c r="BI46" s="39">
        <f t="shared" si="67"/>
        <v>6.7393058865490518E-2</v>
      </c>
      <c r="BJ46" s="39">
        <f t="shared" si="67"/>
        <v>6.8232603551129367E-2</v>
      </c>
      <c r="BK46" s="39">
        <f t="shared" si="67"/>
        <v>6.9083635752543726E-2</v>
      </c>
      <c r="BL46" s="39">
        <f t="shared" si="67"/>
        <v>6.9945022364849896E-2</v>
      </c>
      <c r="BM46" s="39">
        <f t="shared" si="67"/>
        <v>7.0815569001000833E-2</v>
      </c>
      <c r="BN46" s="39">
        <f t="shared" si="67"/>
        <v>7.1694026218190432E-2</v>
      </c>
      <c r="BO46" s="39">
        <f t="shared" si="67"/>
        <v>7.2579096443845525E-2</v>
      </c>
      <c r="BP46" s="39">
        <f t="shared" si="67"/>
        <v>7.3469441525777279E-2</v>
      </c>
      <c r="BQ46" s="39">
        <f t="shared" si="67"/>
        <v>7.4363690817366823E-2</v>
      </c>
      <c r="BR46" s="39">
        <f t="shared" si="67"/>
        <v>7.5260449696665344E-2</v>
      </c>
      <c r="BS46" s="39">
        <f t="shared" si="67"/>
        <v>7.615830840838167E-2</v>
      </c>
    </row>
    <row r="47" spans="1:162" x14ac:dyDescent="0.35">
      <c r="B47" s="10" t="s">
        <v>66</v>
      </c>
      <c r="C47" s="11"/>
      <c r="D47" s="11"/>
      <c r="E47" s="11"/>
      <c r="F47" s="11"/>
      <c r="G47" s="15">
        <f>G20/C20-1</f>
        <v>-0.14928646242471855</v>
      </c>
      <c r="H47" s="15">
        <f t="shared" ref="H47:N47" si="68">H20/D20-1</f>
        <v>-0.18355595288178372</v>
      </c>
      <c r="I47" s="15">
        <f t="shared" si="68"/>
        <v>-0.13107737577743594</v>
      </c>
      <c r="J47" s="15">
        <f t="shared" si="68"/>
        <v>-0.11405581963512756</v>
      </c>
      <c r="K47" s="15">
        <f t="shared" si="68"/>
        <v>7.6468777653803333E-2</v>
      </c>
      <c r="L47" s="15">
        <f t="shared" si="68"/>
        <v>-6.727641621847924E-2</v>
      </c>
      <c r="M47" s="15">
        <f t="shared" si="68"/>
        <v>1.6624336181020549E-2</v>
      </c>
      <c r="N47" s="15">
        <f t="shared" si="68"/>
        <v>-0.20736166896469033</v>
      </c>
      <c r="O47" s="15">
        <f>+O20/K20-1</f>
        <v>0.1722751398395197</v>
      </c>
      <c r="P47" s="15">
        <f t="shared" ref="O47:X47" si="69">+P20/L20-1</f>
        <v>0.65520336993301576</v>
      </c>
      <c r="Q47" s="15">
        <f t="shared" si="69"/>
        <v>0.49784238019532134</v>
      </c>
      <c r="R47" s="15">
        <f t="shared" si="69"/>
        <v>0.46982302223566785</v>
      </c>
      <c r="S47" s="15">
        <f t="shared" si="69"/>
        <v>9.1940180191167231E-2</v>
      </c>
      <c r="T47" s="15">
        <f t="shared" si="69"/>
        <v>5.4904251324627618E-2</v>
      </c>
      <c r="U47" s="15">
        <f t="shared" si="69"/>
        <v>2.7672479150871787E-2</v>
      </c>
      <c r="V47" s="15">
        <f t="shared" si="69"/>
        <v>9.6686220026757308E-2</v>
      </c>
      <c r="W47" s="15">
        <f t="shared" si="69"/>
        <v>-8.1713854917071505E-2</v>
      </c>
      <c r="X47" s="25">
        <f>+X20/T20-1</f>
        <v>1.510777140597197E-2</v>
      </c>
      <c r="Y47" s="39">
        <f>+Y20/U20-1</f>
        <v>5.2155590607027236E-2</v>
      </c>
      <c r="Z47" s="39">
        <f>+Z20/V20-1</f>
        <v>0.18173807109562667</v>
      </c>
      <c r="AC47" s="11"/>
      <c r="AD47" s="11"/>
      <c r="AE47" s="11"/>
      <c r="AF47" s="11"/>
      <c r="AG47" s="11"/>
      <c r="AH47" s="11"/>
      <c r="AI47" s="11"/>
      <c r="AJ47" s="11"/>
      <c r="AK47" s="11"/>
      <c r="AL47" s="15"/>
      <c r="AM47" s="48">
        <f t="shared" ref="AM47:AZ47" si="70">+AM20/AL20-1</f>
        <v>53.8130081300813</v>
      </c>
      <c r="AN47" s="48">
        <f t="shared" si="70"/>
        <v>0.93310590329279153</v>
      </c>
      <c r="AO47" s="48">
        <f t="shared" si="70"/>
        <v>0.93194199340136574</v>
      </c>
      <c r="AP47" s="48">
        <f t="shared" si="70"/>
        <v>0.82683982683982693</v>
      </c>
      <c r="AQ47" s="48">
        <f t="shared" si="70"/>
        <v>0.71077003347971646</v>
      </c>
      <c r="AR47" s="48">
        <f t="shared" si="70"/>
        <v>0.15995272708788688</v>
      </c>
      <c r="AS47" s="48">
        <f t="shared" si="70"/>
        <v>0.11735448460215392</v>
      </c>
      <c r="AT47" s="48">
        <f t="shared" si="70"/>
        <v>0.52014393426870997</v>
      </c>
      <c r="AU47" s="48">
        <f t="shared" si="70"/>
        <v>-0.11829774059764842</v>
      </c>
      <c r="AV47" s="48">
        <f t="shared" si="70"/>
        <v>3.3789319678127372E-2</v>
      </c>
      <c r="AW47" s="48">
        <f t="shared" si="70"/>
        <v>0.1795936852086415</v>
      </c>
      <c r="AX47" s="48">
        <f>+AX20/AW20-1</f>
        <v>-0.14587969933832834</v>
      </c>
      <c r="AY47" s="48">
        <f>+AY20/AX20-1</f>
        <v>-3.2307681502447672E-2</v>
      </c>
      <c r="AZ47" s="48">
        <f t="shared" si="70"/>
        <v>0.39331983364905176</v>
      </c>
      <c r="BA47" s="49">
        <f>+BA20/AZ20-1</f>
        <v>7.0405734139696641E-2</v>
      </c>
      <c r="BB47" s="50">
        <f>+BB20/BA20-1</f>
        <v>2.3255133416177687E-2</v>
      </c>
      <c r="BC47" s="50">
        <f>+BC20/BB20-1</f>
        <v>4.4999999999999929E-2</v>
      </c>
      <c r="BD47" s="50">
        <f t="shared" ref="BD47:BS47" si="71">+BD20/BC20-1</f>
        <v>4.4999999999999929E-2</v>
      </c>
      <c r="BE47" s="50">
        <f t="shared" si="71"/>
        <v>4.4999999999999929E-2</v>
      </c>
      <c r="BF47" s="50">
        <f t="shared" si="71"/>
        <v>4.4999999999999929E-2</v>
      </c>
      <c r="BG47" s="50">
        <f t="shared" si="71"/>
        <v>4.4999999999999929E-2</v>
      </c>
      <c r="BH47" s="50">
        <f t="shared" si="71"/>
        <v>4.4999999999999929E-2</v>
      </c>
      <c r="BI47" s="50">
        <f t="shared" si="71"/>
        <v>4.4999999999999929E-2</v>
      </c>
      <c r="BJ47" s="50">
        <f t="shared" si="71"/>
        <v>4.4999999999999929E-2</v>
      </c>
      <c r="BK47" s="50">
        <f t="shared" si="71"/>
        <v>4.4999999999999929E-2</v>
      </c>
      <c r="BL47" s="50">
        <f t="shared" si="71"/>
        <v>4.4999999999999929E-2</v>
      </c>
      <c r="BM47" s="50">
        <f t="shared" si="71"/>
        <v>4.4999999999999929E-2</v>
      </c>
      <c r="BN47" s="50">
        <f t="shared" si="71"/>
        <v>4.4999999999999929E-2</v>
      </c>
      <c r="BO47" s="50">
        <f t="shared" si="71"/>
        <v>4.4999999999999929E-2</v>
      </c>
      <c r="BP47" s="50">
        <f t="shared" si="71"/>
        <v>4.4999999999999929E-2</v>
      </c>
      <c r="BQ47" s="50">
        <f t="shared" si="71"/>
        <v>4.4999999999999929E-2</v>
      </c>
      <c r="BR47" s="50">
        <f t="shared" si="71"/>
        <v>4.4999999999999929E-2</v>
      </c>
      <c r="BS47" s="50">
        <f t="shared" si="71"/>
        <v>4.4999999999999929E-2</v>
      </c>
    </row>
    <row r="48" spans="1:162" x14ac:dyDescent="0.35">
      <c r="B48" s="10" t="s">
        <v>107</v>
      </c>
      <c r="C48" s="11"/>
      <c r="D48" s="11"/>
      <c r="E48" s="11"/>
      <c r="F48" s="11"/>
      <c r="G48" s="15">
        <f>G24/C24-1</f>
        <v>8.6752637749120787E-2</v>
      </c>
      <c r="H48" s="15">
        <f t="shared" ref="H48:X48" si="72">H24/D24-1</f>
        <v>-5.728454172366626E-2</v>
      </c>
      <c r="I48" s="15">
        <f t="shared" si="72"/>
        <v>9.1932457786116251E-2</v>
      </c>
      <c r="J48" s="15">
        <f t="shared" si="72"/>
        <v>-6.5624164661855167E-2</v>
      </c>
      <c r="K48" s="15">
        <f t="shared" si="72"/>
        <v>-3.4519956850053934E-2</v>
      </c>
      <c r="L48" s="15">
        <f t="shared" si="72"/>
        <v>-2.9385089787774321E-2</v>
      </c>
      <c r="M48" s="15">
        <f t="shared" si="72"/>
        <v>0.21632302405498272</v>
      </c>
      <c r="N48" s="15">
        <f t="shared" si="72"/>
        <v>0.2919467887283651</v>
      </c>
      <c r="O48" s="15">
        <f t="shared" si="72"/>
        <v>0.21159217877094982</v>
      </c>
      <c r="P48" s="15">
        <f t="shared" si="72"/>
        <v>0.70099046907120166</v>
      </c>
      <c r="Q48" s="15">
        <f t="shared" si="72"/>
        <v>0.16329990111597681</v>
      </c>
      <c r="R48" s="15">
        <f t="shared" si="72"/>
        <v>1.6164747564216153E-2</v>
      </c>
      <c r="S48" s="15">
        <f t="shared" si="72"/>
        <v>0.2509510086455331</v>
      </c>
      <c r="T48" s="15">
        <f t="shared" si="72"/>
        <v>0.14645132937815863</v>
      </c>
      <c r="U48" s="15">
        <f t="shared" si="72"/>
        <v>-0.10358227079538551</v>
      </c>
      <c r="V48" s="15">
        <f t="shared" si="72"/>
        <v>0.25386794508607546</v>
      </c>
      <c r="W48" s="15">
        <f t="shared" si="72"/>
        <v>-0.28722816070770363</v>
      </c>
      <c r="X48" s="25">
        <f t="shared" si="72"/>
        <v>-0.31308097747963581</v>
      </c>
      <c r="Y48" s="39">
        <f>Y24/U24-1</f>
        <v>-0.19068126636102212</v>
      </c>
      <c r="Z48" s="39">
        <f t="shared" ref="Z48:Z50" si="73">Z24/V24-1</f>
        <v>-0.38879226060190142</v>
      </c>
      <c r="AC48" s="11"/>
      <c r="AD48" s="11"/>
      <c r="AE48" s="11"/>
      <c r="AF48" s="48">
        <f>AF24/AE24-1</f>
        <v>-0.27534562211981561</v>
      </c>
      <c r="AG48" s="48">
        <f t="shared" ref="AG48:BG48" si="74">AG24/AF24-1</f>
        <v>2.975244151714751E-2</v>
      </c>
      <c r="AH48" s="48">
        <f t="shared" si="74"/>
        <v>-9.4838994265549204E-3</v>
      </c>
      <c r="AI48" s="48">
        <f t="shared" si="74"/>
        <v>9.6192384769539174E-2</v>
      </c>
      <c r="AJ48" s="48">
        <f t="shared" si="74"/>
        <v>0.27462929108267309</v>
      </c>
      <c r="AK48" s="48">
        <f t="shared" si="74"/>
        <v>0.17529880478087656</v>
      </c>
      <c r="AL48" s="48">
        <f t="shared" si="74"/>
        <v>0.39850847457627125</v>
      </c>
      <c r="AM48" s="48">
        <f t="shared" si="74"/>
        <v>0.39170060112468486</v>
      </c>
      <c r="AN48" s="48">
        <f t="shared" si="74"/>
        <v>-3.4485160930751046E-2</v>
      </c>
      <c r="AO48" s="48">
        <f t="shared" si="74"/>
        <v>0.26120210693412216</v>
      </c>
      <c r="AP48" s="48">
        <f t="shared" si="74"/>
        <v>0.24623834315464266</v>
      </c>
      <c r="AQ48" s="48">
        <f t="shared" si="74"/>
        <v>6.6014782169581787E-2</v>
      </c>
      <c r="AR48" s="48">
        <f t="shared" si="74"/>
        <v>-7.4846044528659395E-2</v>
      </c>
      <c r="AS48" s="48">
        <f t="shared" si="74"/>
        <v>0.12083973374295964</v>
      </c>
      <c r="AT48" s="48">
        <f t="shared" si="74"/>
        <v>5.7809709705552548E-2</v>
      </c>
      <c r="AU48" s="48">
        <f t="shared" si="74"/>
        <v>-0.10364728514781518</v>
      </c>
      <c r="AV48" s="48">
        <f t="shared" si="74"/>
        <v>0.13223249091148004</v>
      </c>
      <c r="AW48" s="48">
        <f t="shared" si="74"/>
        <v>-1.4158607350096664E-2</v>
      </c>
      <c r="AX48" s="48">
        <f t="shared" si="74"/>
        <v>1.00455187568671E-2</v>
      </c>
      <c r="AY48" s="48">
        <f t="shared" si="74"/>
        <v>0.11196581196581201</v>
      </c>
      <c r="AZ48" s="48">
        <f t="shared" si="74"/>
        <v>0.22947383131856625</v>
      </c>
      <c r="BA48" s="49">
        <f t="shared" si="74"/>
        <v>0.14171639670360903</v>
      </c>
      <c r="BB48" s="48">
        <f t="shared" si="74"/>
        <v>-0.30529483145291447</v>
      </c>
      <c r="BC48" s="48">
        <f t="shared" si="74"/>
        <v>4.0000000000000036E-2</v>
      </c>
      <c r="BD48" s="48">
        <f t="shared" si="74"/>
        <v>4.0000000000000036E-2</v>
      </c>
      <c r="BE48" s="48">
        <f t="shared" si="74"/>
        <v>4.0000000000000036E-2</v>
      </c>
      <c r="BF48" s="48">
        <f t="shared" si="74"/>
        <v>4.0000000000000036E-2</v>
      </c>
      <c r="BG48" s="48">
        <f t="shared" si="74"/>
        <v>4.0000000000000036E-2</v>
      </c>
      <c r="BH48" s="48">
        <f t="shared" ref="BH48:BS48" si="75">BH24/BG24-1</f>
        <v>4.0000000000000036E-2</v>
      </c>
      <c r="BI48" s="48">
        <f t="shared" si="75"/>
        <v>4.0000000000000036E-2</v>
      </c>
      <c r="BJ48" s="48">
        <f t="shared" si="75"/>
        <v>4.0000000000000036E-2</v>
      </c>
      <c r="BK48" s="48">
        <f t="shared" si="75"/>
        <v>4.0000000000000036E-2</v>
      </c>
      <c r="BL48" s="48">
        <f t="shared" si="75"/>
        <v>4.0000000000000036E-2</v>
      </c>
      <c r="BM48" s="48">
        <f t="shared" si="75"/>
        <v>4.0000000000000036E-2</v>
      </c>
      <c r="BN48" s="48">
        <f t="shared" si="75"/>
        <v>4.0000000000000036E-2</v>
      </c>
      <c r="BO48" s="48">
        <f t="shared" si="75"/>
        <v>4.0000000000000036E-2</v>
      </c>
      <c r="BP48" s="48">
        <f t="shared" si="75"/>
        <v>4.0000000000000036E-2</v>
      </c>
      <c r="BQ48" s="48">
        <f t="shared" si="75"/>
        <v>4.0000000000000036E-2</v>
      </c>
      <c r="BR48" s="48">
        <f t="shared" si="75"/>
        <v>4.0000000000000036E-2</v>
      </c>
      <c r="BS48" s="48">
        <f t="shared" si="75"/>
        <v>4.0000000000000036E-2</v>
      </c>
    </row>
    <row r="49" spans="1:71" x14ac:dyDescent="0.35">
      <c r="B49" s="10" t="s">
        <v>108</v>
      </c>
      <c r="C49" s="11"/>
      <c r="D49" s="11"/>
      <c r="E49" s="11"/>
      <c r="F49" s="11"/>
      <c r="G49" s="15">
        <f>G25/C25-1</f>
        <v>0.16924413553431794</v>
      </c>
      <c r="H49" s="15">
        <f t="shared" ref="H49:X49" si="76">H25/D25-1</f>
        <v>0.18453683442742519</v>
      </c>
      <c r="I49" s="15">
        <f t="shared" si="76"/>
        <v>5.9481122126133767E-2</v>
      </c>
      <c r="J49" s="15">
        <f t="shared" si="76"/>
        <v>0.10962821734985706</v>
      </c>
      <c r="K49" s="15">
        <f t="shared" si="76"/>
        <v>-0.11175508990934757</v>
      </c>
      <c r="L49" s="15">
        <f t="shared" si="76"/>
        <v>-0.10344827586206895</v>
      </c>
      <c r="M49" s="15">
        <f t="shared" si="76"/>
        <v>0.31037228747760293</v>
      </c>
      <c r="N49" s="15">
        <f t="shared" si="76"/>
        <v>0.45983676975945009</v>
      </c>
      <c r="O49" s="15">
        <f t="shared" si="76"/>
        <v>0.4112430985444202</v>
      </c>
      <c r="P49" s="15">
        <f t="shared" si="76"/>
        <v>0.78731684981684991</v>
      </c>
      <c r="Q49" s="15">
        <f t="shared" si="76"/>
        <v>0.11941659070191424</v>
      </c>
      <c r="R49" s="15">
        <f t="shared" si="76"/>
        <v>0.21406502868912747</v>
      </c>
      <c r="S49" s="15">
        <f t="shared" si="76"/>
        <v>-0.14072317723770011</v>
      </c>
      <c r="T49" s="15">
        <f t="shared" si="76"/>
        <v>-2.0622518252849997E-2</v>
      </c>
      <c r="U49" s="15">
        <f t="shared" si="76"/>
        <v>-1.9543973941368087E-2</v>
      </c>
      <c r="V49" s="15">
        <f t="shared" si="76"/>
        <v>-0.13063499757634511</v>
      </c>
      <c r="W49" s="15">
        <f t="shared" si="76"/>
        <v>0.29635761589403975</v>
      </c>
      <c r="X49" s="25">
        <f t="shared" si="76"/>
        <v>-0.12764844363065653</v>
      </c>
      <c r="Y49" s="39">
        <f t="shared" ref="Y48:Y50" si="77">Y25/U25-1</f>
        <v>-0.23043778829157069</v>
      </c>
      <c r="Z49" s="39">
        <f t="shared" si="73"/>
        <v>-8.7663262871041758E-2</v>
      </c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>
        <f t="shared" ref="AG49:BG49" si="78">AP25/AO25-1</f>
        <v>2.8660750302541347</v>
      </c>
      <c r="AQ49" s="16">
        <f t="shared" si="78"/>
        <v>0.61440943238731216</v>
      </c>
      <c r="AR49" s="16">
        <f t="shared" si="78"/>
        <v>3.3446437227338865E-2</v>
      </c>
      <c r="AS49" s="16">
        <f t="shared" si="78"/>
        <v>-5.3064415259537201E-2</v>
      </c>
      <c r="AT49" s="16">
        <f t="shared" si="78"/>
        <v>-0.23300201433147305</v>
      </c>
      <c r="AU49" s="16">
        <f t="shared" si="78"/>
        <v>-0.11189563869634478</v>
      </c>
      <c r="AV49" s="16">
        <f t="shared" si="78"/>
        <v>-6.8159782819468662E-2</v>
      </c>
      <c r="AW49" s="16">
        <f t="shared" si="78"/>
        <v>-2.169389241494124E-2</v>
      </c>
      <c r="AX49" s="16">
        <f t="shared" si="78"/>
        <v>0.13161393246477004</v>
      </c>
      <c r="AY49" s="16">
        <f t="shared" si="78"/>
        <v>0.11484962406015042</v>
      </c>
      <c r="AZ49" s="16">
        <f t="shared" si="78"/>
        <v>0.34302815714044854</v>
      </c>
      <c r="BA49" s="26">
        <f t="shared" si="78"/>
        <v>-8.0660347749670458E-2</v>
      </c>
      <c r="BB49" s="16">
        <f>BB25/BA25-1</f>
        <v>-3.8289595468222082E-2</v>
      </c>
      <c r="BC49" s="16">
        <f t="shared" ref="BC49:BG49" si="79">BC25/BB25-1</f>
        <v>4.0000000000000036E-2</v>
      </c>
      <c r="BD49" s="16">
        <f t="shared" si="79"/>
        <v>4.0000000000000036E-2</v>
      </c>
      <c r="BE49" s="16">
        <f t="shared" si="79"/>
        <v>4.0000000000000036E-2</v>
      </c>
      <c r="BF49" s="16">
        <f t="shared" si="79"/>
        <v>4.0000000000000036E-2</v>
      </c>
      <c r="BG49" s="16">
        <f t="shared" si="79"/>
        <v>4.0000000000000036E-2</v>
      </c>
      <c r="BH49" s="16">
        <f t="shared" ref="BH49:BS49" si="80">BH25/BG25-1</f>
        <v>4.0000000000000036E-2</v>
      </c>
      <c r="BI49" s="16">
        <f t="shared" si="80"/>
        <v>4.0000000000000036E-2</v>
      </c>
      <c r="BJ49" s="16">
        <f t="shared" si="80"/>
        <v>4.0000000000000036E-2</v>
      </c>
      <c r="BK49" s="16">
        <f t="shared" si="80"/>
        <v>4.0000000000000036E-2</v>
      </c>
      <c r="BL49" s="16">
        <f t="shared" si="80"/>
        <v>4.0000000000000036E-2</v>
      </c>
      <c r="BM49" s="16">
        <f t="shared" si="80"/>
        <v>4.0000000000000036E-2</v>
      </c>
      <c r="BN49" s="16">
        <f t="shared" si="80"/>
        <v>4.0000000000000036E-2</v>
      </c>
      <c r="BO49" s="16">
        <f t="shared" si="80"/>
        <v>4.0000000000000036E-2</v>
      </c>
      <c r="BP49" s="16">
        <f t="shared" si="80"/>
        <v>4.0000000000000036E-2</v>
      </c>
      <c r="BQ49" s="16">
        <f t="shared" si="80"/>
        <v>4.0000000000000036E-2</v>
      </c>
      <c r="BR49" s="16">
        <f t="shared" si="80"/>
        <v>4.0000000000000036E-2</v>
      </c>
      <c r="BS49" s="16">
        <f t="shared" si="80"/>
        <v>4.0000000000000036E-2</v>
      </c>
    </row>
    <row r="50" spans="1:71" x14ac:dyDescent="0.35">
      <c r="B50" s="10" t="s">
        <v>109</v>
      </c>
      <c r="C50" s="11"/>
      <c r="D50" s="11"/>
      <c r="E50" s="11"/>
      <c r="F50" s="11"/>
      <c r="G50" s="15">
        <f>G26/C26-1</f>
        <v>0.33333333333333326</v>
      </c>
      <c r="H50" s="15">
        <f t="shared" ref="H50:X50" si="81">H26/D26-1</f>
        <v>0.29716742539200802</v>
      </c>
      <c r="I50" s="15">
        <f t="shared" si="81"/>
        <v>0.47727272727272729</v>
      </c>
      <c r="J50" s="15">
        <f t="shared" si="81"/>
        <v>0.53701084394153709</v>
      </c>
      <c r="K50" s="15">
        <f t="shared" si="81"/>
        <v>0.36973180076628354</v>
      </c>
      <c r="L50" s="15">
        <f>L26/H26-1</f>
        <v>0.22519009553519198</v>
      </c>
      <c r="M50" s="15">
        <f t="shared" si="81"/>
        <v>0.16742081447963808</v>
      </c>
      <c r="N50" s="15">
        <f t="shared" si="81"/>
        <v>0.2079754601226993</v>
      </c>
      <c r="O50" s="15">
        <f t="shared" si="81"/>
        <v>0.2958041958041957</v>
      </c>
      <c r="P50" s="15">
        <f t="shared" si="81"/>
        <v>0.2469764481222152</v>
      </c>
      <c r="Q50" s="15">
        <f t="shared" si="81"/>
        <v>0.36046511627906974</v>
      </c>
      <c r="R50" s="15">
        <f t="shared" si="81"/>
        <v>0.11541391569324522</v>
      </c>
      <c r="S50" s="15">
        <f t="shared" si="81"/>
        <v>0.13337445069771037</v>
      </c>
      <c r="T50" s="15">
        <f t="shared" si="81"/>
        <v>0.12378764675855036</v>
      </c>
      <c r="U50" s="15">
        <f t="shared" si="81"/>
        <v>-7.8746438746438718E-2</v>
      </c>
      <c r="V50" s="15">
        <f t="shared" si="81"/>
        <v>9.8463289698349499E-2</v>
      </c>
      <c r="W50" s="15">
        <f t="shared" si="81"/>
        <v>-8.2919529283722149E-2</v>
      </c>
      <c r="X50" s="25">
        <f t="shared" si="81"/>
        <v>-5.56438791732905E-3</v>
      </c>
      <c r="Y50" s="39">
        <f>Y26/U26-1</f>
        <v>-9.713112350285491E-2</v>
      </c>
      <c r="Z50" s="39">
        <f t="shared" si="73"/>
        <v>-0.10953113767946066</v>
      </c>
      <c r="AE50" s="16"/>
      <c r="AF50" s="16">
        <f>AF26/AE26-1</f>
        <v>-0.52163164400494444</v>
      </c>
      <c r="AG50" s="16">
        <f t="shared" ref="AG50:BB50" si="82">AG26/AF26-1</f>
        <v>0.74160206718346244</v>
      </c>
      <c r="AH50" s="16">
        <f t="shared" si="82"/>
        <v>0.5370919881305638</v>
      </c>
      <c r="AI50" s="16">
        <f t="shared" si="82"/>
        <v>1.1785714285714284</v>
      </c>
      <c r="AJ50" s="16">
        <f t="shared" si="82"/>
        <v>1.510412051395658</v>
      </c>
      <c r="AK50" s="16">
        <f t="shared" si="82"/>
        <v>0.54888810448288039</v>
      </c>
      <c r="AL50" s="16">
        <f t="shared" si="82"/>
        <v>8.9904284412032798E-2</v>
      </c>
      <c r="AM50" s="16">
        <f t="shared" si="82"/>
        <v>0.13403031887088335</v>
      </c>
      <c r="AN50" s="16">
        <f t="shared" si="82"/>
        <v>-0.11809716972434769</v>
      </c>
      <c r="AO50" s="16">
        <f t="shared" si="82"/>
        <v>5.456826259669656E-2</v>
      </c>
      <c r="AP50" s="16">
        <f t="shared" si="82"/>
        <v>0.18229579698651865</v>
      </c>
      <c r="AQ50" s="16">
        <f t="shared" si="82"/>
        <v>-9.7845225119476797E-2</v>
      </c>
      <c r="AR50" s="16">
        <f t="shared" si="82"/>
        <v>-5.9758364312267664E-2</v>
      </c>
      <c r="AS50" s="16">
        <f t="shared" si="82"/>
        <v>-0.17179005634081246</v>
      </c>
      <c r="AT50" s="16">
        <f t="shared" si="82"/>
        <v>0.20145602100489324</v>
      </c>
      <c r="AU50" s="16">
        <f t="shared" si="82"/>
        <v>0.10579119896692157</v>
      </c>
      <c r="AV50" s="16">
        <f t="shared" si="82"/>
        <v>0.15549766439094492</v>
      </c>
      <c r="AW50" s="16">
        <f t="shared" si="82"/>
        <v>0.35403871569618284</v>
      </c>
      <c r="AX50" s="16">
        <f t="shared" si="82"/>
        <v>0.40563816960440957</v>
      </c>
      <c r="AY50" s="16">
        <f t="shared" si="82"/>
        <v>0.25071481088146386</v>
      </c>
      <c r="AZ50" s="16">
        <f t="shared" si="82"/>
        <v>0.2530045721750489</v>
      </c>
      <c r="BA50" s="26">
        <f t="shared" si="82"/>
        <v>7.4908124169208001E-2</v>
      </c>
      <c r="BB50" s="16">
        <f>BB26/BA26-1</f>
        <v>-7.5414841565526358E-2</v>
      </c>
      <c r="BC50" s="16">
        <f t="shared" ref="BC50:BG50" si="83">BC26/BB26-1</f>
        <v>9.000000000000008E-2</v>
      </c>
      <c r="BD50" s="16">
        <f t="shared" si="83"/>
        <v>9.000000000000008E-2</v>
      </c>
      <c r="BE50" s="16">
        <f t="shared" si="83"/>
        <v>9.000000000000008E-2</v>
      </c>
      <c r="BF50" s="16">
        <f t="shared" si="83"/>
        <v>9.000000000000008E-2</v>
      </c>
      <c r="BG50" s="16">
        <f t="shared" si="83"/>
        <v>9.000000000000008E-2</v>
      </c>
      <c r="BH50" s="16">
        <f t="shared" ref="BH50:BS50" si="84">BH26/BG26-1</f>
        <v>9.000000000000008E-2</v>
      </c>
      <c r="BI50" s="16">
        <f t="shared" si="84"/>
        <v>9.000000000000008E-2</v>
      </c>
      <c r="BJ50" s="16">
        <f t="shared" si="84"/>
        <v>9.000000000000008E-2</v>
      </c>
      <c r="BK50" s="16">
        <f t="shared" si="84"/>
        <v>9.000000000000008E-2</v>
      </c>
      <c r="BL50" s="16">
        <f t="shared" si="84"/>
        <v>9.000000000000008E-2</v>
      </c>
      <c r="BM50" s="16">
        <f t="shared" si="84"/>
        <v>9.000000000000008E-2</v>
      </c>
      <c r="BN50" s="16">
        <f t="shared" si="84"/>
        <v>9.000000000000008E-2</v>
      </c>
      <c r="BO50" s="16">
        <f t="shared" si="84"/>
        <v>9.000000000000008E-2</v>
      </c>
      <c r="BP50" s="16">
        <f t="shared" si="84"/>
        <v>9.000000000000008E-2</v>
      </c>
      <c r="BQ50" s="16">
        <f t="shared" si="84"/>
        <v>9.000000000000008E-2</v>
      </c>
      <c r="BR50" s="16">
        <f t="shared" si="84"/>
        <v>9.000000000000008E-2</v>
      </c>
      <c r="BS50" s="16">
        <f t="shared" si="84"/>
        <v>9.000000000000008E-2</v>
      </c>
    </row>
    <row r="51" spans="1:71" x14ac:dyDescent="0.35">
      <c r="B51" s="10" t="s">
        <v>106</v>
      </c>
      <c r="C51" s="11"/>
      <c r="D51" s="11"/>
      <c r="E51" s="11"/>
      <c r="F51" s="11"/>
      <c r="G51" s="15">
        <f>G28/C28-1</f>
        <v>-7.2368753473801228E-2</v>
      </c>
      <c r="H51" s="15">
        <f t="shared" ref="H51:X51" si="85">H28/D28-1</f>
        <v>-0.10360559801335978</v>
      </c>
      <c r="I51" s="15">
        <f t="shared" si="85"/>
        <v>-3.1177802685454226E-2</v>
      </c>
      <c r="J51" s="15">
        <f t="shared" si="85"/>
        <v>-3.8225357896112144E-2</v>
      </c>
      <c r="K51" s="15">
        <f t="shared" si="85"/>
        <v>7.719752161775717E-2</v>
      </c>
      <c r="L51" s="15">
        <f t="shared" si="85"/>
        <v>-3.4360571244496985E-2</v>
      </c>
      <c r="M51" s="15">
        <f t="shared" si="85"/>
        <v>9.8573924540775293E-2</v>
      </c>
      <c r="N51" s="15">
        <f t="shared" si="85"/>
        <v>-2.6781035921519925E-2</v>
      </c>
      <c r="O51" s="15">
        <f t="shared" si="85"/>
        <v>0.20952164239482207</v>
      </c>
      <c r="P51" s="15">
        <f t="shared" si="85"/>
        <v>0.61643500500389181</v>
      </c>
      <c r="Q51" s="15">
        <f t="shared" si="85"/>
        <v>0.37436867330052226</v>
      </c>
      <c r="R51" s="15">
        <f t="shared" si="85"/>
        <v>0.2977925781172106</v>
      </c>
      <c r="S51" s="15">
        <f t="shared" si="85"/>
        <v>9.1463032254018639E-2</v>
      </c>
      <c r="T51" s="15">
        <f t="shared" si="85"/>
        <v>6.5682484212264303E-2</v>
      </c>
      <c r="U51" s="15">
        <f t="shared" si="85"/>
        <v>-9.2731594420466523E-3</v>
      </c>
      <c r="V51" s="15">
        <f t="shared" si="85"/>
        <v>9.0269348370542124E-2</v>
      </c>
      <c r="W51" s="15">
        <f t="shared" si="85"/>
        <v>-7.6999683995824908E-2</v>
      </c>
      <c r="X51" s="25">
        <f t="shared" si="85"/>
        <v>-4.5547852356791485E-2</v>
      </c>
      <c r="Y51" s="39">
        <f t="shared" ref="Y51" si="86">Y28/U28-1</f>
        <v>-2.7410505899419069E-2</v>
      </c>
      <c r="Z51" s="39">
        <f t="shared" ref="Z51" si="87">Z28/V28-1</f>
        <v>2.2360748006875264E-2</v>
      </c>
      <c r="AE51" s="16"/>
      <c r="AF51" s="16">
        <f>AF28/AE28-1</f>
        <v>-0.30428467683369642</v>
      </c>
      <c r="AG51" s="16">
        <f t="shared" ref="AG51:BB51" si="88">AG28/AF28-1</f>
        <v>8.7265135699373664E-2</v>
      </c>
      <c r="AH51" s="16">
        <f t="shared" si="88"/>
        <v>6.1251920122887826E-2</v>
      </c>
      <c r="AI51" s="16">
        <f t="shared" si="88"/>
        <v>0.29907725710150168</v>
      </c>
      <c r="AJ51" s="16">
        <f t="shared" si="88"/>
        <v>0.6630919220055711</v>
      </c>
      <c r="AK51" s="16">
        <f t="shared" si="88"/>
        <v>0.35256678670128139</v>
      </c>
      <c r="AL51" s="16">
        <f t="shared" si="88"/>
        <v>0.23843724846758718</v>
      </c>
      <c r="AM51" s="16">
        <f t="shared" si="88"/>
        <v>0.59699030096990291</v>
      </c>
      <c r="AN51" s="16">
        <f t="shared" si="88"/>
        <v>0.14134552171054682</v>
      </c>
      <c r="AO51" s="16">
        <f t="shared" si="88"/>
        <v>0.58275275659663173</v>
      </c>
      <c r="AP51" s="16">
        <f t="shared" si="88"/>
        <v>0.71350339664494666</v>
      </c>
      <c r="AQ51" s="16">
        <f t="shared" si="88"/>
        <v>0.45250616934342003</v>
      </c>
      <c r="AR51" s="16">
        <f t="shared" si="88"/>
        <v>7.8270133270202935E-2</v>
      </c>
      <c r="AS51" s="16">
        <f t="shared" si="88"/>
        <v>6.3754770468619881E-2</v>
      </c>
      <c r="AT51" s="16">
        <f t="shared" si="88"/>
        <v>0.29790204696112466</v>
      </c>
      <c r="AU51" s="16">
        <f t="shared" si="88"/>
        <v>-0.10530574445993102</v>
      </c>
      <c r="AV51" s="16">
        <f t="shared" si="88"/>
        <v>4.1627677203841307E-2</v>
      </c>
      <c r="AW51" s="16">
        <f t="shared" si="88"/>
        <v>0.14630070161703146</v>
      </c>
      <c r="AX51" s="16">
        <f t="shared" si="88"/>
        <v>-6.3580044219697429E-2</v>
      </c>
      <c r="AY51" s="16">
        <f t="shared" si="88"/>
        <v>3.2092312151970948E-2</v>
      </c>
      <c r="AZ51" s="16">
        <f t="shared" si="88"/>
        <v>0.34720743656765429</v>
      </c>
      <c r="BA51" s="26">
        <f>BA28/AZ28-1</f>
        <v>6.3239764351428418E-2</v>
      </c>
      <c r="BB51" s="16">
        <f>BB28/BA28-1</f>
        <v>-3.7061846002630849E-2</v>
      </c>
      <c r="BC51" s="16">
        <f>BC28/BB28-1</f>
        <v>4.9714524455365172E-2</v>
      </c>
      <c r="BD51" s="16">
        <f>BD28/BC28-1</f>
        <v>4.9939322593562929E-2</v>
      </c>
      <c r="BE51" s="16">
        <f t="shared" ref="BC51:BG51" si="89">BE28/BD28-1</f>
        <v>5.0171234548263666E-2</v>
      </c>
      <c r="BF51" s="16">
        <f t="shared" si="89"/>
        <v>5.0410388772012649E-2</v>
      </c>
      <c r="BG51" s="16">
        <f t="shared" si="89"/>
        <v>5.065690815133661E-2</v>
      </c>
      <c r="BH51" s="16">
        <f t="shared" ref="BH51:BS51" si="90">BH28/BG28-1</f>
        <v>5.0910909303590435E-2</v>
      </c>
      <c r="BI51" s="16">
        <f t="shared" si="90"/>
        <v>5.1172501849292562E-2</v>
      </c>
      <c r="BJ51" s="16">
        <f t="shared" si="90"/>
        <v>5.1441787662361182E-2</v>
      </c>
      <c r="BK51" s="16">
        <f t="shared" si="90"/>
        <v>5.1718860101086728E-2</v>
      </c>
      <c r="BL51" s="16">
        <f t="shared" si="90"/>
        <v>5.2003803223117151E-2</v>
      </c>
      <c r="BM51" s="16">
        <f t="shared" si="90"/>
        <v>5.2296690988174577E-2</v>
      </c>
      <c r="BN51" s="16">
        <f t="shared" si="90"/>
        <v>5.2597586452679979E-2</v>
      </c>
      <c r="BO51" s="16">
        <f t="shared" si="90"/>
        <v>5.2906540960911963E-2</v>
      </c>
      <c r="BP51" s="16">
        <f t="shared" si="90"/>
        <v>5.3223593337788699E-2</v>
      </c>
      <c r="BQ51" s="16">
        <f t="shared" si="90"/>
        <v>5.3548769088777037E-2</v>
      </c>
      <c r="BR51" s="16">
        <f t="shared" si="90"/>
        <v>5.388207961287228E-2</v>
      </c>
      <c r="BS51" s="16">
        <f t="shared" si="90"/>
        <v>5.4223521434963562E-2</v>
      </c>
    </row>
    <row r="52" spans="1:71" x14ac:dyDescent="0.35">
      <c r="B52" s="10" t="s">
        <v>67</v>
      </c>
      <c r="C52" s="11"/>
      <c r="D52" s="11"/>
      <c r="E52" s="11"/>
      <c r="F52" s="11"/>
      <c r="G52" s="15">
        <f>G29/C29-1</f>
        <v>0.19125862635557023</v>
      </c>
      <c r="H52" s="15">
        <f t="shared" ref="H52:M52" si="91">H29/D29-1</f>
        <v>0.24591947769314482</v>
      </c>
      <c r="I52" s="15">
        <f t="shared" si="91"/>
        <v>0.19972769166317561</v>
      </c>
      <c r="J52" s="15">
        <f t="shared" si="91"/>
        <v>0.34195001608924169</v>
      </c>
      <c r="K52" s="15">
        <f t="shared" si="91"/>
        <v>0.16919540229885066</v>
      </c>
      <c r="L52" s="15">
        <f t="shared" si="91"/>
        <v>0.16576419213973792</v>
      </c>
      <c r="M52" s="15">
        <f t="shared" si="91"/>
        <v>0.14849410737669144</v>
      </c>
      <c r="N52" s="15">
        <f>N29/J29-1</f>
        <v>0.16289665094716654</v>
      </c>
      <c r="O52" s="15">
        <f>+O29/K29-1</f>
        <v>0.23955957530475813</v>
      </c>
      <c r="P52" s="15">
        <f t="shared" ref="P52:W52" si="92">+P29/L29-1</f>
        <v>0.26618219958046141</v>
      </c>
      <c r="Q52" s="15">
        <f t="shared" si="92"/>
        <v>0.32912739434478566</v>
      </c>
      <c r="R52" s="15">
        <f t="shared" si="92"/>
        <v>0.25623754209911342</v>
      </c>
      <c r="S52" s="15">
        <f t="shared" si="92"/>
        <v>0.23824630416851722</v>
      </c>
      <c r="T52" s="15">
        <f t="shared" si="92"/>
        <v>0.17277084196201398</v>
      </c>
      <c r="U52" s="15">
        <f t="shared" si="92"/>
        <v>0.12112547180601618</v>
      </c>
      <c r="V52" s="15">
        <f t="shared" si="92"/>
        <v>4.984406631285232E-2</v>
      </c>
      <c r="W52" s="15">
        <f t="shared" si="92"/>
        <v>6.4050010248001721E-2</v>
      </c>
      <c r="X52" s="25">
        <f>+X29/T29-1</f>
        <v>5.4790373845921003E-2</v>
      </c>
      <c r="Y52" s="39">
        <f t="shared" ref="Y52:Z52" si="93">+Y29/U29-1</f>
        <v>8.7957922825968593E-2</v>
      </c>
      <c r="Z52" s="39">
        <f t="shared" si="93"/>
        <v>5.2317220079386662E-2</v>
      </c>
      <c r="AE52" s="16"/>
      <c r="AF52" s="16">
        <f>AF29/AE29-1</f>
        <v>-0.47814207650273222</v>
      </c>
      <c r="AG52" s="16">
        <f t="shared" ref="AG52:BB52" si="94">AG29/AF29-1</f>
        <v>-6.8062827225130906E-2</v>
      </c>
      <c r="AH52" s="16">
        <f t="shared" si="94"/>
        <v>0.27340823970037453</v>
      </c>
      <c r="AI52" s="16">
        <f t="shared" si="94"/>
        <v>0.61617647058823533</v>
      </c>
      <c r="AJ52" s="16">
        <f t="shared" si="94"/>
        <v>0.81073703366696992</v>
      </c>
      <c r="AK52" s="16">
        <f t="shared" si="94"/>
        <v>0.58994974874371864</v>
      </c>
      <c r="AL52" s="16">
        <f t="shared" si="94"/>
        <v>0.26548672566371678</v>
      </c>
      <c r="AM52" s="16">
        <f t="shared" si="94"/>
        <v>0.38561438561438566</v>
      </c>
      <c r="AN52" s="16">
        <f t="shared" si="94"/>
        <v>0.16204037490987733</v>
      </c>
      <c r="AO52" s="16">
        <f t="shared" si="94"/>
        <v>0.16658911121451836</v>
      </c>
      <c r="AP52" s="16">
        <f t="shared" si="94"/>
        <v>0.24624385055178832</v>
      </c>
      <c r="AQ52" s="16">
        <f t="shared" si="94"/>
        <v>0.37522671503254035</v>
      </c>
      <c r="AR52" s="16">
        <f t="shared" si="94"/>
        <v>0.24522885958107055</v>
      </c>
      <c r="AS52" s="16">
        <f t="shared" si="94"/>
        <v>0.12535044545511176</v>
      </c>
      <c r="AT52" s="16">
        <f t="shared" si="94"/>
        <v>0.10219786303493339</v>
      </c>
      <c r="AU52" s="16">
        <f t="shared" si="94"/>
        <v>0.22296448842232164</v>
      </c>
      <c r="AV52" s="16">
        <f t="shared" si="94"/>
        <v>0.23131263348118947</v>
      </c>
      <c r="AW52" s="16">
        <f t="shared" si="94"/>
        <v>0.24049366244162784</v>
      </c>
      <c r="AX52" s="16">
        <f t="shared" si="94"/>
        <v>0.24471632159182577</v>
      </c>
      <c r="AY52" s="16">
        <f t="shared" si="94"/>
        <v>0.16152167807997242</v>
      </c>
      <c r="AZ52" s="16">
        <f t="shared" si="94"/>
        <v>0.27259708376729663</v>
      </c>
      <c r="BA52" s="26">
        <f t="shared" si="94"/>
        <v>0.14181951041286078</v>
      </c>
      <c r="BB52" s="16">
        <f>BB29/BA29-1</f>
        <v>6.4818312508333031E-2</v>
      </c>
      <c r="BC52" s="16">
        <f>BC29/BB29-1</f>
        <v>0.1100000000000001</v>
      </c>
      <c r="BD52" s="16">
        <f>BD29/BC29-1</f>
        <v>0.1100000000000001</v>
      </c>
      <c r="BE52" s="16">
        <f t="shared" ref="BC52:BS52" si="95">BE29/BD29-1</f>
        <v>0.1100000000000001</v>
      </c>
      <c r="BF52" s="16">
        <f t="shared" si="95"/>
        <v>0.1100000000000001</v>
      </c>
      <c r="BG52" s="16">
        <f t="shared" si="95"/>
        <v>0.1100000000000001</v>
      </c>
      <c r="BH52" s="16">
        <f>BH29/BG29-1</f>
        <v>0.1100000000000001</v>
      </c>
      <c r="BI52" s="16">
        <f t="shared" si="95"/>
        <v>0.1100000000000001</v>
      </c>
      <c r="BJ52" s="16">
        <f t="shared" si="95"/>
        <v>0.1100000000000001</v>
      </c>
      <c r="BK52" s="16">
        <f t="shared" si="95"/>
        <v>0.1100000000000001</v>
      </c>
      <c r="BL52" s="16">
        <f t="shared" si="95"/>
        <v>0.1100000000000001</v>
      </c>
      <c r="BM52" s="16">
        <f t="shared" si="95"/>
        <v>0.10999999999999988</v>
      </c>
      <c r="BN52" s="16">
        <f t="shared" si="95"/>
        <v>0.1100000000000001</v>
      </c>
      <c r="BO52" s="16">
        <f t="shared" si="95"/>
        <v>0.1100000000000001</v>
      </c>
      <c r="BP52" s="16">
        <f t="shared" si="95"/>
        <v>0.1100000000000001</v>
      </c>
      <c r="BQ52" s="16">
        <f t="shared" si="95"/>
        <v>0.1100000000000001</v>
      </c>
      <c r="BR52" s="16">
        <f t="shared" si="95"/>
        <v>0.1100000000000001</v>
      </c>
      <c r="BS52" s="16">
        <f t="shared" si="95"/>
        <v>0.1100000000000001</v>
      </c>
    </row>
    <row r="53" spans="1:71" x14ac:dyDescent="0.35">
      <c r="B53" s="10" t="s">
        <v>177</v>
      </c>
      <c r="C53" s="11"/>
      <c r="D53" s="11"/>
      <c r="E53" s="11"/>
      <c r="F53" s="11"/>
      <c r="G53" s="15">
        <f>G35/G30</f>
        <v>4.6281579883762303E-2</v>
      </c>
      <c r="H53" s="15">
        <f t="shared" ref="H53:X53" si="96">H35/H30</f>
        <v>6.8051366026027751E-2</v>
      </c>
      <c r="I53" s="15">
        <f t="shared" si="96"/>
        <v>7.9113159508632389E-2</v>
      </c>
      <c r="J53" s="15">
        <f t="shared" si="96"/>
        <v>6.4178638351030604E-2</v>
      </c>
      <c r="K53" s="15">
        <f t="shared" si="96"/>
        <v>4.8475805661137676E-2</v>
      </c>
      <c r="L53" s="15">
        <f t="shared" si="96"/>
        <v>7.828443057294257E-2</v>
      </c>
      <c r="M53" s="15">
        <f t="shared" si="96"/>
        <v>7.9718522241769285E-2</v>
      </c>
      <c r="N53" s="15">
        <f t="shared" si="96"/>
        <v>7.694210021948128E-2</v>
      </c>
      <c r="O53" s="15">
        <f t="shared" si="96"/>
        <v>4.6330279345650982E-2</v>
      </c>
      <c r="P53" s="15">
        <f t="shared" si="96"/>
        <v>5.8738167529916056E-2</v>
      </c>
      <c r="Q53" s="15">
        <f t="shared" si="96"/>
        <v>7.0204091657047427E-2</v>
      </c>
      <c r="R53" s="15">
        <f t="shared" si="96"/>
        <v>6.9241842610364687E-2</v>
      </c>
      <c r="S53" s="15">
        <f t="shared" si="96"/>
        <v>5.0877405300738233E-2</v>
      </c>
      <c r="T53" s="15">
        <f t="shared" si="96"/>
        <v>6.5657188675754027E-2</v>
      </c>
      <c r="U53" s="15">
        <f t="shared" si="96"/>
        <v>8.1932038717920902E-2</v>
      </c>
      <c r="V53" s="15">
        <f t="shared" si="96"/>
        <v>7.5000554655780621E-2</v>
      </c>
      <c r="W53" s="15">
        <f t="shared" si="96"/>
        <v>6.5802277344350166E-2</v>
      </c>
      <c r="X53" s="25">
        <f t="shared" si="96"/>
        <v>7.863047787759922E-2</v>
      </c>
      <c r="Y53" s="16">
        <f>AVERAGE(W53:X53)</f>
        <v>7.2216377610974686E-2</v>
      </c>
      <c r="Z53" s="16">
        <f>AVERAGE(X53:Y53)</f>
        <v>7.5423427744286953E-2</v>
      </c>
      <c r="AE53" s="16"/>
      <c r="AF53" s="16">
        <f>AF35/AF30</f>
        <v>8.0179004288644412E-2</v>
      </c>
      <c r="AG53" s="16">
        <f t="shared" ref="AG53:BS53" si="97">AG35/AG30</f>
        <v>7.7673284569836298E-2</v>
      </c>
      <c r="AH53" s="16">
        <f t="shared" si="97"/>
        <v>7.5882068632189464E-2</v>
      </c>
      <c r="AI53" s="16">
        <f t="shared" si="97"/>
        <v>5.9065104481217538E-2</v>
      </c>
      <c r="AJ53" s="16">
        <f t="shared" si="97"/>
        <v>3.8331778048955566E-2</v>
      </c>
      <c r="AK53" s="16">
        <f t="shared" si="97"/>
        <v>3.6862542065752006E-2</v>
      </c>
      <c r="AL53" s="16">
        <f t="shared" si="97"/>
        <v>3.2575189535949345E-2</v>
      </c>
      <c r="AM53" s="16">
        <f t="shared" si="97"/>
        <v>2.9580432637166254E-2</v>
      </c>
      <c r="AN53" s="16">
        <f t="shared" si="97"/>
        <v>3.1068640018645847E-2</v>
      </c>
      <c r="AO53" s="16">
        <f t="shared" si="97"/>
        <v>2.7320812571866616E-2</v>
      </c>
      <c r="AP53" s="16">
        <f t="shared" si="97"/>
        <v>2.2439006364954873E-2</v>
      </c>
      <c r="AQ53" s="16">
        <f t="shared" si="97"/>
        <v>2.1602729572929181E-2</v>
      </c>
      <c r="AR53" s="16">
        <f t="shared" si="97"/>
        <v>2.6183371365045931E-2</v>
      </c>
      <c r="AS53" s="16">
        <f t="shared" si="97"/>
        <v>3.3047949889220163E-2</v>
      </c>
      <c r="AT53" s="16">
        <f t="shared" si="97"/>
        <v>3.4516398177267184E-2</v>
      </c>
      <c r="AU53" s="16">
        <f t="shared" si="97"/>
        <v>4.6582482760539605E-2</v>
      </c>
      <c r="AV53" s="16">
        <f t="shared" si="97"/>
        <v>5.0520428906706681E-2</v>
      </c>
      <c r="AW53" s="16">
        <f t="shared" si="97"/>
        <v>5.3600406634161032E-2</v>
      </c>
      <c r="AX53" s="16">
        <f t="shared" si="97"/>
        <v>6.233136285716482E-2</v>
      </c>
      <c r="AY53" s="16">
        <f t="shared" si="97"/>
        <v>6.8309564140393061E-2</v>
      </c>
      <c r="AZ53" s="16">
        <f t="shared" si="97"/>
        <v>5.9904269074427925E-2</v>
      </c>
      <c r="BA53" s="26">
        <f t="shared" si="97"/>
        <v>6.657148363798665E-2</v>
      </c>
      <c r="BB53" s="16">
        <f t="shared" si="97"/>
        <v>7.6674856676088851E-2</v>
      </c>
      <c r="BC53" s="16">
        <f t="shared" si="97"/>
        <v>7.0000000000000007E-2</v>
      </c>
      <c r="BD53" s="16">
        <f t="shared" si="97"/>
        <v>7.0000000000000007E-2</v>
      </c>
      <c r="BE53" s="16">
        <f t="shared" si="97"/>
        <v>7.0000000000000007E-2</v>
      </c>
      <c r="BF53" s="16">
        <f t="shared" si="97"/>
        <v>7.0000000000000007E-2</v>
      </c>
      <c r="BG53" s="16">
        <f t="shared" si="97"/>
        <v>7.0000000000000007E-2</v>
      </c>
      <c r="BH53" s="16">
        <f t="shared" si="97"/>
        <v>7.0000000000000007E-2</v>
      </c>
      <c r="BI53" s="16">
        <f t="shared" si="97"/>
        <v>7.0000000000000007E-2</v>
      </c>
      <c r="BJ53" s="16">
        <f t="shared" si="97"/>
        <v>7.0000000000000007E-2</v>
      </c>
      <c r="BK53" s="16">
        <f t="shared" si="97"/>
        <v>7.0000000000000007E-2</v>
      </c>
      <c r="BL53" s="16">
        <f t="shared" si="97"/>
        <v>7.0000000000000007E-2</v>
      </c>
      <c r="BM53" s="16">
        <f t="shared" si="97"/>
        <v>7.0000000000000007E-2</v>
      </c>
      <c r="BN53" s="16">
        <f t="shared" si="97"/>
        <v>7.0000000000000007E-2</v>
      </c>
      <c r="BO53" s="16">
        <f t="shared" si="97"/>
        <v>7.0000000000000007E-2</v>
      </c>
      <c r="BP53" s="16">
        <f t="shared" si="97"/>
        <v>7.0000000000000007E-2</v>
      </c>
      <c r="BQ53" s="16">
        <f t="shared" si="97"/>
        <v>7.0000000000000007E-2</v>
      </c>
      <c r="BR53" s="16">
        <f t="shared" si="97"/>
        <v>7.0000000000000007E-2</v>
      </c>
      <c r="BS53" s="16">
        <f t="shared" si="97"/>
        <v>7.0000000000000007E-2</v>
      </c>
    </row>
    <row r="54" spans="1:71" x14ac:dyDescent="0.35">
      <c r="B54" s="51" t="s">
        <v>178</v>
      </c>
      <c r="C54" s="11"/>
      <c r="D54" s="11"/>
      <c r="E54" s="11"/>
      <c r="F54" s="11"/>
      <c r="G54" s="15">
        <f>G36/G30</f>
        <v>5.6731111374688649E-2</v>
      </c>
      <c r="H54" s="15">
        <f t="shared" ref="H54:X54" si="98">H36/H30</f>
        <v>7.6842195983797296E-2</v>
      </c>
      <c r="I54" s="15">
        <f t="shared" si="98"/>
        <v>8.2253898046795143E-2</v>
      </c>
      <c r="J54" s="15">
        <f t="shared" si="98"/>
        <v>7.1486570893191756E-2</v>
      </c>
      <c r="K54" s="15">
        <f t="shared" si="98"/>
        <v>5.6600485738245894E-2</v>
      </c>
      <c r="L54" s="15">
        <f t="shared" si="98"/>
        <v>8.4921029616037591E-2</v>
      </c>
      <c r="M54" s="15">
        <f t="shared" si="98"/>
        <v>8.0941610119795587E-2</v>
      </c>
      <c r="N54" s="15">
        <f t="shared" si="98"/>
        <v>7.6292930229682532E-2</v>
      </c>
      <c r="O54" s="15">
        <f t="shared" si="98"/>
        <v>5.0529886305512431E-2</v>
      </c>
      <c r="P54" s="15">
        <f t="shared" si="98"/>
        <v>5.9318628326486871E-2</v>
      </c>
      <c r="Q54" s="15">
        <f t="shared" si="98"/>
        <v>6.645872731291598E-2</v>
      </c>
      <c r="R54" s="15">
        <f t="shared" si="98"/>
        <v>6.7370441458733207E-2</v>
      </c>
      <c r="S54" s="15">
        <f t="shared" si="98"/>
        <v>5.2031142845617009E-2</v>
      </c>
      <c r="T54" s="15">
        <f t="shared" si="98"/>
        <v>6.3662904253788108E-2</v>
      </c>
      <c r="U54" s="15">
        <f t="shared" si="98"/>
        <v>7.2469533142877809E-2</v>
      </c>
      <c r="V54" s="15">
        <f t="shared" si="98"/>
        <v>7.1439664544183878E-2</v>
      </c>
      <c r="W54" s="15">
        <f t="shared" si="98"/>
        <v>5.6395855028424126E-2</v>
      </c>
      <c r="X54" s="25">
        <f t="shared" si="98"/>
        <v>6.5386562065038595E-2</v>
      </c>
      <c r="Y54" s="16">
        <f>Y36/Y30</f>
        <v>7.0000000000000007E-2</v>
      </c>
      <c r="Z54" s="16">
        <f>AVERAGE(X54:Y54)</f>
        <v>6.7693281032519301E-2</v>
      </c>
      <c r="AF54" s="16">
        <f>AF36/AF30</f>
        <v>0.21219466716390081</v>
      </c>
      <c r="AG54" s="16">
        <f t="shared" ref="AG54:BB54" si="99">AG36/AG30</f>
        <v>0.19313827934517588</v>
      </c>
      <c r="AH54" s="16">
        <f t="shared" si="99"/>
        <v>0.19526341227646207</v>
      </c>
      <c r="AI54" s="16">
        <f>AI36/AI30</f>
        <v>0.17163908684623747</v>
      </c>
      <c r="AJ54" s="16">
        <f t="shared" si="99"/>
        <v>0.13344339961237528</v>
      </c>
      <c r="AK54" s="16">
        <f t="shared" si="99"/>
        <v>0.12596427646906549</v>
      </c>
      <c r="AL54" s="16">
        <f t="shared" si="99"/>
        <v>0.12342747646421728</v>
      </c>
      <c r="AM54" s="16">
        <f t="shared" si="99"/>
        <v>0.10031740951161612</v>
      </c>
      <c r="AN54" s="16">
        <f t="shared" si="99"/>
        <v>9.6702016082041722E-2</v>
      </c>
      <c r="AO54" s="16">
        <f t="shared" si="99"/>
        <v>8.4584131851284022E-2</v>
      </c>
      <c r="AP54" s="16">
        <f t="shared" si="99"/>
        <v>7.0199262810741903E-2</v>
      </c>
      <c r="AQ54" s="16">
        <f t="shared" si="99"/>
        <v>6.4150075395506934E-2</v>
      </c>
      <c r="AR54" s="16">
        <f t="shared" si="99"/>
        <v>6.3366684219764782E-2</v>
      </c>
      <c r="AS54" s="16">
        <f t="shared" si="99"/>
        <v>6.5609015563883044E-2</v>
      </c>
      <c r="AT54" s="16">
        <f t="shared" si="99"/>
        <v>6.1309714823609952E-2</v>
      </c>
      <c r="AU54" s="16">
        <f t="shared" si="99"/>
        <v>6.5822972653369755E-2</v>
      </c>
      <c r="AV54" s="16">
        <f t="shared" si="99"/>
        <v>6.6573893924984945E-2</v>
      </c>
      <c r="AW54" s="16">
        <f>AW36/AW30</f>
        <v>6.2896515371147807E-2</v>
      </c>
      <c r="AX54" s="16">
        <f t="shared" si="99"/>
        <v>7.0126146348213125E-2</v>
      </c>
      <c r="AY54" s="16">
        <f t="shared" si="99"/>
        <v>7.2549769593646979E-2</v>
      </c>
      <c r="AZ54" s="16">
        <f t="shared" si="99"/>
        <v>6.006555190163388E-2</v>
      </c>
      <c r="BA54" s="26">
        <f>BA36/BA30</f>
        <v>6.3637378020328261E-2</v>
      </c>
      <c r="BB54" s="16">
        <f>BB36/BB30</f>
        <v>6.4760278434412136E-2</v>
      </c>
      <c r="BC54" s="16">
        <f t="shared" ref="BC54:BS54" si="100">BC36/BC30</f>
        <v>7.0000000000000007E-2</v>
      </c>
      <c r="BD54" s="16">
        <f t="shared" si="100"/>
        <v>7.0000000000000007E-2</v>
      </c>
      <c r="BE54" s="16">
        <f t="shared" si="100"/>
        <v>7.0000000000000007E-2</v>
      </c>
      <c r="BF54" s="16">
        <f t="shared" si="100"/>
        <v>7.0000000000000007E-2</v>
      </c>
      <c r="BG54" s="16">
        <f t="shared" si="100"/>
        <v>7.0000000000000007E-2</v>
      </c>
      <c r="BH54" s="16">
        <f t="shared" si="100"/>
        <v>7.0000000000000007E-2</v>
      </c>
      <c r="BI54" s="16">
        <f t="shared" si="100"/>
        <v>7.0000000000000007E-2</v>
      </c>
      <c r="BJ54" s="16">
        <f t="shared" si="100"/>
        <v>7.0000000000000007E-2</v>
      </c>
      <c r="BK54" s="16">
        <f t="shared" si="100"/>
        <v>7.0000000000000007E-2</v>
      </c>
      <c r="BL54" s="16">
        <f t="shared" si="100"/>
        <v>7.0000000000000007E-2</v>
      </c>
      <c r="BM54" s="16">
        <f t="shared" si="100"/>
        <v>7.0000000000000007E-2</v>
      </c>
      <c r="BN54" s="16">
        <f t="shared" si="100"/>
        <v>7.0000000000000007E-2</v>
      </c>
      <c r="BO54" s="16">
        <f t="shared" si="100"/>
        <v>7.0000000000000007E-2</v>
      </c>
      <c r="BP54" s="16">
        <f t="shared" si="100"/>
        <v>7.0000000000000007E-2</v>
      </c>
      <c r="BQ54" s="16">
        <f t="shared" si="100"/>
        <v>7.0000000000000007E-2</v>
      </c>
      <c r="BR54" s="16">
        <f t="shared" si="100"/>
        <v>7.0000000000000007E-2</v>
      </c>
      <c r="BS54" s="16">
        <f t="shared" si="100"/>
        <v>7.0000000000000007E-2</v>
      </c>
    </row>
    <row r="55" spans="1:71" x14ac:dyDescent="0.35">
      <c r="B55" t="s">
        <v>68</v>
      </c>
      <c r="C55" s="16">
        <f>C34/C30</f>
        <v>0.38408480853521798</v>
      </c>
      <c r="D55" s="16">
        <f>D34/D30</f>
        <v>0.38310679294044525</v>
      </c>
      <c r="E55" s="16">
        <f>E34/E30</f>
        <v>0.38338496198254013</v>
      </c>
      <c r="F55" s="16">
        <f t="shared" ref="D55:J55" si="101">F34/F30</f>
        <v>0.38289348171701115</v>
      </c>
      <c r="G55" s="16">
        <f t="shared" si="101"/>
        <v>0.37991934527339583</v>
      </c>
      <c r="H55" s="16">
        <f t="shared" si="101"/>
        <v>0.37612686374213566</v>
      </c>
      <c r="I55" s="16">
        <f t="shared" si="101"/>
        <v>0.37590365923916075</v>
      </c>
      <c r="J55" s="16">
        <f t="shared" si="101"/>
        <v>0.37965334166146159</v>
      </c>
      <c r="K55" s="16">
        <f>+K34/K30</f>
        <v>0.38354806739345887</v>
      </c>
      <c r="L55" s="16">
        <f t="shared" ref="K55:R55" si="102">+L34/L30</f>
        <v>0.38361943305952362</v>
      </c>
      <c r="M55" s="16">
        <f t="shared" si="102"/>
        <v>0.37999497361146017</v>
      </c>
      <c r="N55" s="16">
        <f t="shared" si="102"/>
        <v>0.38160375900336951</v>
      </c>
      <c r="O55" s="16">
        <f t="shared" si="102"/>
        <v>0.39777815665969724</v>
      </c>
      <c r="P55" s="16">
        <f t="shared" si="102"/>
        <v>0.42506474370423292</v>
      </c>
      <c r="Q55" s="16">
        <f t="shared" si="102"/>
        <v>0.43292727853230839</v>
      </c>
      <c r="R55" s="16">
        <f t="shared" si="102"/>
        <v>0.42195297504798462</v>
      </c>
      <c r="S55" s="16">
        <f>+S34/S30</f>
        <v>0.43763766186615033</v>
      </c>
      <c r="T55" s="16">
        <f>+T34/T30</f>
        <v>0.43749871502292398</v>
      </c>
      <c r="U55" s="16">
        <f>+U34/U30</f>
        <v>0.43256307332537758</v>
      </c>
      <c r="V55" s="16">
        <f t="shared" ref="V55:X55" si="103">+V34/V30</f>
        <v>0.4225922392563175</v>
      </c>
      <c r="W55" s="16">
        <f t="shared" si="103"/>
        <v>0.42962254809908323</v>
      </c>
      <c r="X55" s="26">
        <f t="shared" si="103"/>
        <v>0.44261672782487665</v>
      </c>
      <c r="Y55" s="37">
        <f>AVERAGE(W55:X55)</f>
        <v>0.43611963796197994</v>
      </c>
      <c r="Z55" s="37">
        <f t="shared" ref="Z55" si="104">AVERAGE(X55:Y55)</f>
        <v>0.43936818289342827</v>
      </c>
      <c r="AC55" s="9"/>
      <c r="AD55" s="9"/>
      <c r="AE55" s="16">
        <f>AE34/AE30</f>
        <v>0.27132656895903795</v>
      </c>
      <c r="AF55" s="16">
        <f t="shared" ref="AF55:BA55" si="105">AF34/AF30</f>
        <v>0.23028155882901361</v>
      </c>
      <c r="AG55" s="16">
        <f t="shared" si="105"/>
        <v>0.27917102055033088</v>
      </c>
      <c r="AH55" s="16">
        <f t="shared" si="105"/>
        <v>0.27517319155791847</v>
      </c>
      <c r="AI55" s="16">
        <f t="shared" si="105"/>
        <v>0.27285904094697427</v>
      </c>
      <c r="AJ55" s="16">
        <f t="shared" si="105"/>
        <v>0.29021606489124974</v>
      </c>
      <c r="AK55" s="16">
        <f t="shared" si="105"/>
        <v>0.28982655966865128</v>
      </c>
      <c r="AL55" s="16">
        <f t="shared" si="105"/>
        <v>0.33966508372906773</v>
      </c>
      <c r="AM55" s="16">
        <f t="shared" si="105"/>
        <v>0.35200448107545812</v>
      </c>
      <c r="AN55" s="16">
        <f t="shared" si="105"/>
        <v>0.40139843841044165</v>
      </c>
      <c r="AO55" s="16">
        <f t="shared" si="105"/>
        <v>0.39377539287083174</v>
      </c>
      <c r="AP55" s="16">
        <f t="shared" si="105"/>
        <v>0.40478895878945764</v>
      </c>
      <c r="AQ55" s="16">
        <f t="shared" si="105"/>
        <v>0.43871239808827661</v>
      </c>
      <c r="AR55" s="16">
        <f t="shared" si="105"/>
        <v>0.37624480720847231</v>
      </c>
      <c r="AS55" s="16">
        <f t="shared" si="105"/>
        <v>0.38588035777783858</v>
      </c>
      <c r="AT55" s="16">
        <f t="shared" si="105"/>
        <v>0.40059902017414373</v>
      </c>
      <c r="AU55" s="16">
        <f>AU34/AU30</f>
        <v>0.39075955648097049</v>
      </c>
      <c r="AV55" s="16">
        <f>AV34/AV30</f>
        <v>0.38469860491899105</v>
      </c>
      <c r="AW55" s="16">
        <f>AW34/AW30</f>
        <v>0.38343718820007905</v>
      </c>
      <c r="AX55" s="16">
        <f t="shared" si="105"/>
        <v>0.37817768109034722</v>
      </c>
      <c r="AY55" s="16">
        <f t="shared" si="105"/>
        <v>0.38233247727810865</v>
      </c>
      <c r="AZ55" s="16">
        <f t="shared" si="105"/>
        <v>0.41779359625167778</v>
      </c>
      <c r="BA55" s="26">
        <f t="shared" si="105"/>
        <v>0.43309630561360085</v>
      </c>
      <c r="BB55" s="40">
        <f>BB34/BB30</f>
        <v>0.44141549487991372</v>
      </c>
      <c r="BC55" s="40">
        <f t="shared" ref="BC55:BS55" si="106">BC34/BC30</f>
        <v>0.41845525875967027</v>
      </c>
      <c r="BD55" s="40">
        <f t="shared" si="106"/>
        <v>0.42189311730140344</v>
      </c>
      <c r="BE55" s="40">
        <f t="shared" si="106"/>
        <v>0.42541996216037969</v>
      </c>
      <c r="BF55" s="40">
        <f t="shared" si="106"/>
        <v>0.42903313094183804</v>
      </c>
      <c r="BG55" s="40">
        <f t="shared" si="106"/>
        <v>0.43272956306103927</v>
      </c>
      <c r="BH55" s="40">
        <f t="shared" si="106"/>
        <v>0.43650580313861331</v>
      </c>
      <c r="BI55" s="40">
        <f t="shared" si="106"/>
        <v>0.44035800832143113</v>
      </c>
      <c r="BJ55" s="40">
        <f t="shared" si="106"/>
        <v>0.44428195962795908</v>
      </c>
      <c r="BK55" s="40">
        <f t="shared" si="106"/>
        <v>0.44827307734960736</v>
      </c>
      <c r="BL55" s="40">
        <f t="shared" si="106"/>
        <v>0.45232644046740733</v>
      </c>
      <c r="BM55" s="40">
        <f t="shared" si="106"/>
        <v>0.45643680996825853</v>
      </c>
      <c r="BN55" s="40">
        <f t="shared" si="106"/>
        <v>0.46059865586901516</v>
      </c>
      <c r="BO55" s="40">
        <f t="shared" si="106"/>
        <v>0.46480618768204313</v>
      </c>
      <c r="BP55" s="40">
        <f t="shared" si="106"/>
        <v>0.46905338798481427</v>
      </c>
      <c r="BQ55" s="40">
        <f t="shared" si="106"/>
        <v>0.47333404869086843</v>
      </c>
      <c r="BR55" s="40">
        <f t="shared" si="106"/>
        <v>0.47764180956215352</v>
      </c>
      <c r="BS55" s="40">
        <f t="shared" si="106"/>
        <v>0.48197019845523725</v>
      </c>
    </row>
    <row r="56" spans="1:71" x14ac:dyDescent="0.35">
      <c r="B56" s="9" t="s">
        <v>69</v>
      </c>
      <c r="C56" s="17"/>
      <c r="D56" s="17">
        <f t="shared" ref="D56:J56" si="107">(D29-D32)/D29</f>
        <v>0.58879216539717083</v>
      </c>
      <c r="E56" s="17">
        <f t="shared" si="107"/>
        <v>0.59279430247172182</v>
      </c>
      <c r="F56" s="17"/>
      <c r="G56" s="17">
        <f t="shared" si="107"/>
        <v>0.62841379310344825</v>
      </c>
      <c r="H56" s="17">
        <f t="shared" si="107"/>
        <v>0.63781659388646283</v>
      </c>
      <c r="I56" s="17">
        <f t="shared" si="107"/>
        <v>0.64129201222173726</v>
      </c>
      <c r="J56" s="17">
        <f t="shared" si="107"/>
        <v>0.64119574774198707</v>
      </c>
      <c r="K56" s="16">
        <f>(K29-K32)/K29</f>
        <v>0.64396382225717652</v>
      </c>
      <c r="L56" s="16">
        <f>(L29-L32)/L29</f>
        <v>0.65373089601438417</v>
      </c>
      <c r="M56" s="16">
        <f>(M29-M32)/M29</f>
        <v>0.67224080267558528</v>
      </c>
      <c r="N56" s="16">
        <f>(N29-N32)/N29</f>
        <v>0.66925561894288266</v>
      </c>
      <c r="O56" s="16">
        <f>(O29-O32)/O29</f>
        <v>0.6839667533785927</v>
      </c>
      <c r="P56" s="16">
        <f>(P29-P32)/P29</f>
        <v>0.70072776758771671</v>
      </c>
      <c r="Q56" s="16">
        <f>(Q29-Q32)/Q29</f>
        <v>0.69804414960539862</v>
      </c>
      <c r="R56" s="16">
        <f>(R29-R32)/R29</f>
        <v>0.704765552333534</v>
      </c>
      <c r="S56" s="16">
        <f>(S29-S32)/S29</f>
        <v>0.72366263578602175</v>
      </c>
      <c r="T56" s="16">
        <f>(T29-T32)/T29</f>
        <v>0.72609858231168967</v>
      </c>
      <c r="U56" s="16">
        <f>(U29-U32)/U29</f>
        <v>0.71490512140379514</v>
      </c>
      <c r="V56" s="16">
        <f>(V29-V32)/V29</f>
        <v>0.70481550969355844</v>
      </c>
      <c r="W56" s="16">
        <f>(W29-W32)/W29</f>
        <v>0.70832129442357705</v>
      </c>
      <c r="X56" s="26">
        <f>(X29-X32)/X29</f>
        <v>0.70990577318601422</v>
      </c>
      <c r="Y56" s="40">
        <f>AVERAGE(W56:X56)</f>
        <v>0.70911353380479558</v>
      </c>
      <c r="Z56" s="40">
        <f>AVERAGE(X56:Y56)</f>
        <v>0.70950965349540485</v>
      </c>
      <c r="AA56" s="40"/>
      <c r="AB56" s="40"/>
      <c r="AC56" s="40"/>
      <c r="AD56" s="40"/>
      <c r="AE56" s="40"/>
      <c r="AF56" s="40"/>
      <c r="AG56" s="40"/>
      <c r="AH56" s="40"/>
      <c r="AI56" s="40"/>
      <c r="AJ56" s="40"/>
      <c r="AK56" s="40"/>
      <c r="AL56" s="40"/>
      <c r="AM56" s="40"/>
      <c r="AN56" s="40"/>
      <c r="AO56" s="40"/>
      <c r="AP56" s="40"/>
      <c r="AQ56" s="40"/>
      <c r="AR56" s="40"/>
      <c r="AS56" s="40"/>
      <c r="AT56" s="40"/>
      <c r="AU56" s="40"/>
      <c r="AV56" s="40"/>
      <c r="AW56" s="40">
        <f>(AW29-AW32)/AW29</f>
        <v>0.58074751277225056</v>
      </c>
      <c r="AX56" s="40">
        <f t="shared" ref="AF56:BB57" si="108">(AX29-AX32)/AX29</f>
        <v>0.63738091637683347</v>
      </c>
      <c r="AY56" s="40">
        <f t="shared" si="108"/>
        <v>0.66015101919357233</v>
      </c>
      <c r="AZ56" s="40">
        <f>(AZ29-AZ32)/AZ29</f>
        <v>0.69725977347460721</v>
      </c>
      <c r="BA56" s="26">
        <f t="shared" si="108"/>
        <v>0.71745446633132381</v>
      </c>
      <c r="BB56" s="40">
        <f>(BB29-BB32)/BB29</f>
        <v>0.70921101895005134</v>
      </c>
      <c r="BC56" s="40">
        <f t="shared" ref="BC56:BS56" si="109">(BC29-BC32)/BC29</f>
        <v>0.69</v>
      </c>
      <c r="BD56" s="40">
        <f t="shared" si="109"/>
        <v>0.69000000000000006</v>
      </c>
      <c r="BE56" s="40">
        <f t="shared" si="109"/>
        <v>0.69</v>
      </c>
      <c r="BF56" s="40">
        <f t="shared" si="109"/>
        <v>0.69</v>
      </c>
      <c r="BG56" s="40">
        <f t="shared" si="109"/>
        <v>0.69</v>
      </c>
      <c r="BH56" s="40">
        <f t="shared" si="109"/>
        <v>0.69</v>
      </c>
      <c r="BI56" s="40">
        <f t="shared" si="109"/>
        <v>0.69</v>
      </c>
      <c r="BJ56" s="40">
        <f t="shared" si="109"/>
        <v>0.69</v>
      </c>
      <c r="BK56" s="40">
        <f t="shared" si="109"/>
        <v>0.69</v>
      </c>
      <c r="BL56" s="40">
        <f t="shared" si="109"/>
        <v>0.69</v>
      </c>
      <c r="BM56" s="40">
        <f t="shared" si="109"/>
        <v>0.69</v>
      </c>
      <c r="BN56" s="40">
        <f t="shared" si="109"/>
        <v>0.69</v>
      </c>
      <c r="BO56" s="40">
        <f t="shared" si="109"/>
        <v>0.69</v>
      </c>
      <c r="BP56" s="40">
        <f t="shared" si="109"/>
        <v>0.69</v>
      </c>
      <c r="BQ56" s="40">
        <f t="shared" si="109"/>
        <v>0.69</v>
      </c>
      <c r="BR56" s="40">
        <f t="shared" si="109"/>
        <v>0.69</v>
      </c>
      <c r="BS56" s="40">
        <f t="shared" si="109"/>
        <v>0.69</v>
      </c>
    </row>
    <row r="57" spans="1:71" x14ac:dyDescent="0.35">
      <c r="B57" s="9" t="s">
        <v>70</v>
      </c>
      <c r="C57" s="17"/>
      <c r="D57" s="17">
        <f t="shared" ref="D57:J57" si="110">(D28-D31)/D28</f>
        <v>0.34671877105511384</v>
      </c>
      <c r="E57" s="17">
        <f>(E28-E31)/E28</f>
        <v>0.33764896950842921</v>
      </c>
      <c r="F57" s="17"/>
      <c r="G57" s="17">
        <f t="shared" si="110"/>
        <v>0.34311976577926057</v>
      </c>
      <c r="H57" s="17">
        <f t="shared" si="110"/>
        <v>0.3117792333297541</v>
      </c>
      <c r="I57" s="17">
        <f t="shared" si="110"/>
        <v>0.30412711904424611</v>
      </c>
      <c r="J57" s="17">
        <f t="shared" si="110"/>
        <v>0.31615206970831961</v>
      </c>
      <c r="K57" s="16">
        <f>(K28-K31)/K28</f>
        <v>0.3416894215210356</v>
      </c>
      <c r="L57" s="16">
        <f t="shared" ref="L57:X57" si="111">(L28-L31)/L28</f>
        <v>0.30343600578227509</v>
      </c>
      <c r="M57" s="16">
        <f t="shared" si="111"/>
        <v>0.29736293494379851</v>
      </c>
      <c r="N57" s="16">
        <f t="shared" si="111"/>
        <v>0.2981515085046561</v>
      </c>
      <c r="O57" s="16">
        <f t="shared" si="111"/>
        <v>0.35063441961579467</v>
      </c>
      <c r="P57" s="16">
        <f t="shared" si="111"/>
        <v>0.3609647372838215</v>
      </c>
      <c r="Q57" s="16">
        <f t="shared" si="111"/>
        <v>0.36043347720022517</v>
      </c>
      <c r="R57" s="16">
        <f t="shared" si="111"/>
        <v>0.34253184395310604</v>
      </c>
      <c r="S57" s="16">
        <f t="shared" si="111"/>
        <v>0.38418446983117716</v>
      </c>
      <c r="T57" s="16">
        <f t="shared" si="111"/>
        <v>0.36364692668190091</v>
      </c>
      <c r="U57" s="16">
        <f t="shared" si="111"/>
        <v>0.34519769552521506</v>
      </c>
      <c r="V57" s="16">
        <f t="shared" si="111"/>
        <v>0.34627526142224979</v>
      </c>
      <c r="W57" s="16">
        <f t="shared" si="111"/>
        <v>0.36957920073038136</v>
      </c>
      <c r="X57" s="26">
        <f>(X28-X31)/X28</f>
        <v>0.36702782399329087</v>
      </c>
      <c r="Y57" s="16">
        <f>AVERAGE(W57:X57)</f>
        <v>0.36830351236183612</v>
      </c>
      <c r="Z57" s="16">
        <f>AVERAGE(X57:Y57)</f>
        <v>0.36766566817756352</v>
      </c>
      <c r="AE57" s="40"/>
      <c r="AF57" s="40"/>
      <c r="AG57" s="40"/>
      <c r="AH57" s="40"/>
      <c r="AI57" s="40"/>
      <c r="AJ57" s="40"/>
      <c r="AK57" s="40"/>
      <c r="AL57" s="40"/>
      <c r="AM57" s="40"/>
      <c r="AN57" s="40"/>
      <c r="AO57" s="40"/>
      <c r="AP57" s="40"/>
      <c r="AQ57" s="40"/>
      <c r="AR57" s="40"/>
      <c r="AS57" s="40"/>
      <c r="AT57" s="40"/>
      <c r="AU57" s="40"/>
      <c r="AV57" s="40"/>
      <c r="AW57" s="40">
        <f>(AW28-AW31)/AW28</f>
        <v>0.35131017271951137</v>
      </c>
      <c r="AX57" s="40">
        <f t="shared" ref="AX57:BB57" si="112">(AX28-AX31)/AX28</f>
        <v>0.32207795851002652</v>
      </c>
      <c r="AY57" s="40">
        <f t="shared" si="112"/>
        <v>0.31466339293399231</v>
      </c>
      <c r="AZ57" s="40">
        <f t="shared" si="112"/>
        <v>0.35349303276483562</v>
      </c>
      <c r="BA57" s="26">
        <f>(BA28-BA31)/BA28</f>
        <v>0.36283479707399452</v>
      </c>
      <c r="BB57" s="40">
        <f>(BB28-BB31)/BB28</f>
        <v>0.36824563825317241</v>
      </c>
      <c r="BC57" s="40">
        <f t="shared" ref="BC57:BS57" si="113">(BC28-BC31)/BC28</f>
        <v>0.34</v>
      </c>
      <c r="BD57" s="40">
        <f t="shared" si="113"/>
        <v>0.34000000000000008</v>
      </c>
      <c r="BE57" s="40">
        <f t="shared" si="113"/>
        <v>0.34</v>
      </c>
      <c r="BF57" s="40">
        <f t="shared" si="113"/>
        <v>0.34000000000000008</v>
      </c>
      <c r="BG57" s="40">
        <f t="shared" si="113"/>
        <v>0.34</v>
      </c>
      <c r="BH57" s="40">
        <f t="shared" si="113"/>
        <v>0.34</v>
      </c>
      <c r="BI57" s="40">
        <f t="shared" si="113"/>
        <v>0.34</v>
      </c>
      <c r="BJ57" s="40">
        <f t="shared" si="113"/>
        <v>0.34</v>
      </c>
      <c r="BK57" s="40">
        <f t="shared" si="113"/>
        <v>0.34</v>
      </c>
      <c r="BL57" s="40">
        <f t="shared" si="113"/>
        <v>0.34</v>
      </c>
      <c r="BM57" s="40">
        <f t="shared" si="113"/>
        <v>0.34000000000000008</v>
      </c>
      <c r="BN57" s="40">
        <f t="shared" si="113"/>
        <v>0.33999999999999997</v>
      </c>
      <c r="BO57" s="40">
        <f t="shared" si="113"/>
        <v>0.33999999999999997</v>
      </c>
      <c r="BP57" s="40">
        <f t="shared" si="113"/>
        <v>0.34</v>
      </c>
      <c r="BQ57" s="40">
        <f t="shared" si="113"/>
        <v>0.34</v>
      </c>
      <c r="BR57" s="40">
        <f t="shared" si="113"/>
        <v>0.34000000000000008</v>
      </c>
      <c r="BS57" s="40">
        <f t="shared" si="113"/>
        <v>0.34000000000000008</v>
      </c>
    </row>
    <row r="58" spans="1:71" x14ac:dyDescent="0.35">
      <c r="B58" t="s">
        <v>71</v>
      </c>
      <c r="C58" s="16">
        <f>C38/C30</f>
        <v>0.29757738439060855</v>
      </c>
      <c r="D58" s="16">
        <f t="shared" ref="D58:J58" si="114">D38/D30</f>
        <v>0.25997350213455028</v>
      </c>
      <c r="E58" s="16">
        <f t="shared" si="114"/>
        <v>0.23677837228949591</v>
      </c>
      <c r="F58" s="16">
        <f t="shared" si="114"/>
        <v>0.25624801271860098</v>
      </c>
      <c r="G58" s="16">
        <f t="shared" si="114"/>
        <v>0.27690665401494485</v>
      </c>
      <c r="H58" s="16">
        <f t="shared" si="114"/>
        <v>0.2312333017323106</v>
      </c>
      <c r="I58" s="16">
        <f t="shared" si="114"/>
        <v>0.2145366016837332</v>
      </c>
      <c r="J58" s="16">
        <f>J38/J30</f>
        <v>0.24398813241723921</v>
      </c>
      <c r="K58" s="16">
        <f t="shared" ref="K58:R58" si="115">+K38/K30</f>
        <v>0.2784717759940753</v>
      </c>
      <c r="L58" s="16">
        <f t="shared" si="115"/>
        <v>0.22041397287054346</v>
      </c>
      <c r="M58" s="16">
        <f t="shared" si="115"/>
        <v>0.21933484124989527</v>
      </c>
      <c r="N58" s="16">
        <f t="shared" si="115"/>
        <v>0.2283687285542057</v>
      </c>
      <c r="O58" s="16">
        <f t="shared" si="115"/>
        <v>0.30091799100853384</v>
      </c>
      <c r="P58" s="16">
        <f t="shared" si="115"/>
        <v>0.30700794784782998</v>
      </c>
      <c r="Q58" s="16">
        <f t="shared" si="115"/>
        <v>0.29626445956234498</v>
      </c>
      <c r="R58" s="16">
        <f t="shared" si="115"/>
        <v>0.28534069097888676</v>
      </c>
      <c r="S58" s="16">
        <f>+S38/S30</f>
        <v>0.33472911371979508</v>
      </c>
      <c r="T58" s="16">
        <f>+T38/T30</f>
        <v>0.30817862209338187</v>
      </c>
      <c r="U58" s="16">
        <f>+U38/U30</f>
        <v>0.27816150146457891</v>
      </c>
      <c r="V58" s="16">
        <f t="shared" ref="V58:X58" si="116">+V38/V30</f>
        <v>0.27615202005635303</v>
      </c>
      <c r="W58" s="16">
        <f t="shared" si="116"/>
        <v>0.30742441572630896</v>
      </c>
      <c r="X58" s="26">
        <f>+X38/X30</f>
        <v>0.29859968788223878</v>
      </c>
      <c r="Y58" s="16">
        <f>Y38/Y30</f>
        <v>0.2980750875065874</v>
      </c>
      <c r="Z58" s="16">
        <f>Z38/Z30</f>
        <v>0.29369235894270257</v>
      </c>
      <c r="AE58" s="40">
        <f>AE38/AE30</f>
        <v>7.7665038206188156E-2</v>
      </c>
      <c r="AF58" s="40">
        <f t="shared" ref="AF58:BB58" si="117">AF38/AF30</f>
        <v>-6.2092112623531606E-2</v>
      </c>
      <c r="AG58" s="40">
        <f t="shared" si="117"/>
        <v>8.3594566353187051E-3</v>
      </c>
      <c r="AH58" s="40">
        <f t="shared" si="117"/>
        <v>4.0277106492669565E-3</v>
      </c>
      <c r="AI58" s="40">
        <f t="shared" si="117"/>
        <v>4.2154849619519263E-2</v>
      </c>
      <c r="AJ58" s="40">
        <f t="shared" si="117"/>
        <v>0.11844088722991888</v>
      </c>
      <c r="AK58" s="40">
        <f t="shared" si="117"/>
        <v>0.1269997411338338</v>
      </c>
      <c r="AL58" s="40">
        <f t="shared" si="117"/>
        <v>0.1836624177289011</v>
      </c>
      <c r="AM58" s="40">
        <f t="shared" si="117"/>
        <v>0.22210663892667573</v>
      </c>
      <c r="AN58" s="40">
        <f t="shared" si="117"/>
        <v>0.2736277823097541</v>
      </c>
      <c r="AO58" s="40">
        <f t="shared" si="117"/>
        <v>0.28187044844768111</v>
      </c>
      <c r="AP58" s="40">
        <f t="shared" si="117"/>
        <v>0.31215068961376086</v>
      </c>
      <c r="AQ58" s="40">
        <f t="shared" si="117"/>
        <v>0.35295959311984054</v>
      </c>
      <c r="AR58" s="40">
        <f t="shared" si="117"/>
        <v>0.28669475162366159</v>
      </c>
      <c r="AS58" s="40">
        <f t="shared" si="117"/>
        <v>0.28722339232473537</v>
      </c>
      <c r="AT58" s="40">
        <f t="shared" si="117"/>
        <v>0.30477290717326661</v>
      </c>
      <c r="AU58" s="40">
        <f t="shared" si="117"/>
        <v>0.27835410106706115</v>
      </c>
      <c r="AV58" s="40">
        <f t="shared" si="117"/>
        <v>0.26760428208729942</v>
      </c>
      <c r="AW58" s="40">
        <f t="shared" si="117"/>
        <v>0.26694026619477024</v>
      </c>
      <c r="AX58" s="40">
        <f t="shared" si="117"/>
        <v>0.24572017188496928</v>
      </c>
      <c r="AY58" s="40">
        <f t="shared" si="117"/>
        <v>0.24147314354406862</v>
      </c>
      <c r="AZ58" s="40">
        <f>AZ38/AZ30</f>
        <v>0.29782377527561593</v>
      </c>
      <c r="BA58" s="26">
        <f>BA38/BA30</f>
        <v>0.30288744395528594</v>
      </c>
      <c r="BB58" s="40">
        <f>BB38/BB30</f>
        <v>0.29998035976941273</v>
      </c>
      <c r="BC58" s="40">
        <f t="shared" ref="BC58:BS58" si="118">BC38/BC30</f>
        <v>0.2784552587596702</v>
      </c>
      <c r="BD58" s="40">
        <f t="shared" si="118"/>
        <v>0.28189311730140343</v>
      </c>
      <c r="BE58" s="40">
        <f t="shared" si="118"/>
        <v>0.28541996216037974</v>
      </c>
      <c r="BF58" s="40">
        <f t="shared" si="118"/>
        <v>0.28903313094183802</v>
      </c>
      <c r="BG58" s="40">
        <f t="shared" si="118"/>
        <v>0.29272956306103926</v>
      </c>
      <c r="BH58" s="40">
        <f t="shared" si="118"/>
        <v>0.2965058031386133</v>
      </c>
      <c r="BI58" s="40">
        <f t="shared" si="118"/>
        <v>0.30035800832143106</v>
      </c>
      <c r="BJ58" s="40">
        <f t="shared" si="118"/>
        <v>0.30428195962795901</v>
      </c>
      <c r="BK58" s="40">
        <f>BK38/BK30</f>
        <v>0.30827307734960735</v>
      </c>
      <c r="BL58" s="40">
        <f t="shared" si="118"/>
        <v>0.31232644046740732</v>
      </c>
      <c r="BM58" s="40">
        <f t="shared" si="118"/>
        <v>0.31643680996825851</v>
      </c>
      <c r="BN58" s="40">
        <f t="shared" si="118"/>
        <v>0.32059865586901515</v>
      </c>
      <c r="BO58" s="40">
        <f t="shared" si="118"/>
        <v>0.32480618768204317</v>
      </c>
      <c r="BP58" s="40">
        <f t="shared" si="118"/>
        <v>0.32905338798481426</v>
      </c>
      <c r="BQ58" s="40">
        <f t="shared" si="118"/>
        <v>0.33333404869086841</v>
      </c>
      <c r="BR58" s="40">
        <f t="shared" si="118"/>
        <v>0.33764180956215351</v>
      </c>
      <c r="BS58" s="40">
        <f t="shared" si="118"/>
        <v>0.34197019845523724</v>
      </c>
    </row>
    <row r="59" spans="1:71" x14ac:dyDescent="0.35">
      <c r="A59" t="s">
        <v>25</v>
      </c>
      <c r="B59" t="s">
        <v>72</v>
      </c>
      <c r="C59" s="16">
        <f>C41/C40</f>
        <v>0.25767665556788755</v>
      </c>
      <c r="D59" s="16">
        <f t="shared" ref="D59:J59" si="119">D41/D40</f>
        <v>0.14510143493320138</v>
      </c>
      <c r="E59" s="16">
        <f t="shared" si="119"/>
        <v>0.13286660644384221</v>
      </c>
      <c r="F59" s="16">
        <f t="shared" si="119"/>
        <v>0.13982096096461846</v>
      </c>
      <c r="G59" s="16">
        <f t="shared" si="119"/>
        <v>0.16485401154521878</v>
      </c>
      <c r="H59" s="16">
        <f t="shared" si="119"/>
        <v>0.17120503183247679</v>
      </c>
      <c r="I59" s="16">
        <f t="shared" si="119"/>
        <v>0.1670394560257672</v>
      </c>
      <c r="J59" s="16">
        <f t="shared" si="119"/>
        <v>0.1614097731931495</v>
      </c>
      <c r="K59" s="16">
        <f>K41/K40</f>
        <v>0.14206343082027933</v>
      </c>
      <c r="L59" s="16">
        <f t="shared" ref="L59:X59" si="120">L41/L40</f>
        <v>0.14358583936048724</v>
      </c>
      <c r="M59" s="16">
        <f t="shared" si="120"/>
        <v>0.14341173783968944</v>
      </c>
      <c r="N59" s="16">
        <f t="shared" si="120"/>
        <v>0.14952016643178309</v>
      </c>
      <c r="O59" s="16">
        <f t="shared" si="120"/>
        <v>0.14366121683194855</v>
      </c>
      <c r="P59" s="16">
        <f t="shared" si="120"/>
        <v>0.1564028417407447</v>
      </c>
      <c r="Q59" s="16">
        <f t="shared" si="120"/>
        <v>0.10771882309491568</v>
      </c>
      <c r="R59" s="16">
        <f t="shared" si="120"/>
        <v>0.11600997935306263</v>
      </c>
      <c r="S59" s="16">
        <f t="shared" si="120"/>
        <v>0.16030164157028201</v>
      </c>
      <c r="T59" s="16">
        <f t="shared" si="120"/>
        <v>0.17017817445834302</v>
      </c>
      <c r="U59" s="16">
        <f t="shared" si="120"/>
        <v>0.15711436746726784</v>
      </c>
      <c r="V59" s="16">
        <f t="shared" si="120"/>
        <v>0.15963012531938192</v>
      </c>
      <c r="W59" s="16">
        <f t="shared" si="120"/>
        <v>0.15790360160570419</v>
      </c>
      <c r="X59" s="26">
        <f>X41/X40</f>
        <v>0.14875625396377987</v>
      </c>
      <c r="Y59" s="16">
        <f>AVERAGE(W59:X59)</f>
        <v>0.15332992778474203</v>
      </c>
      <c r="Z59" s="16">
        <f>AVERAGE(X59:Y59)</f>
        <v>0.15104309087426093</v>
      </c>
      <c r="AE59" s="40">
        <f>AE41/AE40</f>
        <v>0.37181044957472659</v>
      </c>
      <c r="AF59" s="40">
        <f t="shared" ref="AF59:BS59" si="121">AF41/AF40</f>
        <v>0</v>
      </c>
      <c r="AG59" s="40">
        <f t="shared" si="121"/>
        <v>0.1864406779661017</v>
      </c>
      <c r="AH59" s="40">
        <f t="shared" si="121"/>
        <v>0.20338983050847459</v>
      </c>
      <c r="AI59" s="40">
        <f t="shared" si="121"/>
        <v>0.26354679802955666</v>
      </c>
      <c r="AJ59" s="40">
        <f t="shared" si="121"/>
        <v>0.26446280991735538</v>
      </c>
      <c r="AK59" s="40">
        <f t="shared" si="121"/>
        <v>0.29418026969481903</v>
      </c>
      <c r="AL59" s="40">
        <f t="shared" si="121"/>
        <v>0.30191693290734822</v>
      </c>
      <c r="AM59" s="40">
        <f t="shared" si="121"/>
        <v>0.3160836034424947</v>
      </c>
      <c r="AN59" s="40">
        <f t="shared" si="121"/>
        <v>0.31750372948781702</v>
      </c>
      <c r="AO59" s="40">
        <f t="shared" si="121"/>
        <v>0.24417475728155341</v>
      </c>
      <c r="AP59" s="40">
        <f t="shared" si="121"/>
        <v>0.24215757930127174</v>
      </c>
      <c r="AQ59" s="40">
        <f t="shared" si="121"/>
        <v>0.25160052364471064</v>
      </c>
      <c r="AR59" s="40">
        <f t="shared" si="121"/>
        <v>0.26154919748778788</v>
      </c>
      <c r="AS59" s="40">
        <f t="shared" si="121"/>
        <v>0.26126058747639436</v>
      </c>
      <c r="AT59" s="40">
        <f t="shared" si="121"/>
        <v>0.26368337585327173</v>
      </c>
      <c r="AU59" s="40">
        <f t="shared" si="121"/>
        <v>0.25557257381216192</v>
      </c>
      <c r="AV59" s="40">
        <f t="shared" si="121"/>
        <v>0.24556476150353415</v>
      </c>
      <c r="AW59" s="40">
        <f t="shared" si="121"/>
        <v>0.18342180705869443</v>
      </c>
      <c r="AX59" s="40">
        <f t="shared" si="121"/>
        <v>0.15943836804235059</v>
      </c>
      <c r="AY59" s="40">
        <f t="shared" si="121"/>
        <v>0.14428164731484103</v>
      </c>
      <c r="AZ59" s="40">
        <f t="shared" si="121"/>
        <v>0.13302260844085087</v>
      </c>
      <c r="BA59" s="26">
        <f t="shared" si="121"/>
        <v>0.16204461684424407</v>
      </c>
      <c r="BB59" s="40">
        <f t="shared" si="121"/>
        <v>0.15307743529373666</v>
      </c>
      <c r="BC59" s="40">
        <f t="shared" si="121"/>
        <v>0.15</v>
      </c>
      <c r="BD59" s="40">
        <f t="shared" si="121"/>
        <v>0.15</v>
      </c>
      <c r="BE59" s="40">
        <f t="shared" si="121"/>
        <v>0.15</v>
      </c>
      <c r="BF59" s="40">
        <f t="shared" si="121"/>
        <v>0.15</v>
      </c>
      <c r="BG59" s="40">
        <f t="shared" si="121"/>
        <v>0.15</v>
      </c>
      <c r="BH59" s="40">
        <f t="shared" si="121"/>
        <v>0.15</v>
      </c>
      <c r="BI59" s="40">
        <f t="shared" si="121"/>
        <v>0.15</v>
      </c>
      <c r="BJ59" s="40">
        <f t="shared" si="121"/>
        <v>0.15</v>
      </c>
      <c r="BK59" s="40">
        <f t="shared" si="121"/>
        <v>0.15</v>
      </c>
      <c r="BL59" s="40">
        <f t="shared" si="121"/>
        <v>0.15</v>
      </c>
      <c r="BM59" s="40">
        <f t="shared" si="121"/>
        <v>0.15</v>
      </c>
      <c r="BN59" s="40">
        <f t="shared" si="121"/>
        <v>0.15</v>
      </c>
      <c r="BO59" s="40">
        <f t="shared" si="121"/>
        <v>0.15</v>
      </c>
      <c r="BP59" s="40">
        <f t="shared" si="121"/>
        <v>0.15</v>
      </c>
      <c r="BQ59" s="40">
        <f t="shared" si="121"/>
        <v>0.15</v>
      </c>
      <c r="BR59" s="40">
        <f t="shared" si="121"/>
        <v>0.15</v>
      </c>
      <c r="BS59" s="40">
        <f t="shared" si="121"/>
        <v>0.15</v>
      </c>
    </row>
    <row r="60" spans="1:71" x14ac:dyDescent="0.35">
      <c r="X60" s="24"/>
      <c r="BA60" s="24"/>
    </row>
    <row r="61" spans="1:71" x14ac:dyDescent="0.35">
      <c r="A61" t="s">
        <v>25</v>
      </c>
      <c r="B61" s="9" t="s">
        <v>73</v>
      </c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21"/>
      <c r="AV61" s="9"/>
      <c r="AW61" s="9"/>
      <c r="BB61" s="57"/>
    </row>
    <row r="62" spans="1:71" x14ac:dyDescent="0.35"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21"/>
      <c r="BA62" s="28"/>
    </row>
    <row r="63" spans="1:71" x14ac:dyDescent="0.35">
      <c r="A63" t="s">
        <v>25</v>
      </c>
      <c r="B63" t="s">
        <v>74</v>
      </c>
      <c r="S63" s="9">
        <f>S64-S76</f>
        <v>79798</v>
      </c>
      <c r="T63" s="9">
        <f>T64-T76</f>
        <v>72749</v>
      </c>
      <c r="U63" s="9">
        <f>U64-U76</f>
        <v>59617</v>
      </c>
      <c r="V63" s="9">
        <f>V64-V76</f>
        <v>49040</v>
      </c>
      <c r="W63" s="9">
        <f>W64-W76</f>
        <v>54340</v>
      </c>
      <c r="X63" s="21">
        <f>X64-X76</f>
        <v>56718</v>
      </c>
    </row>
    <row r="64" spans="1:71" x14ac:dyDescent="0.35">
      <c r="B64" s="9" t="s">
        <v>75</v>
      </c>
      <c r="C64" s="9">
        <f>27491+49662+207944</f>
        <v>285097</v>
      </c>
      <c r="D64" s="9">
        <f>45059+42881+179286</f>
        <v>267226</v>
      </c>
      <c r="E64" s="9">
        <f>31971+38999+172773</f>
        <v>243743</v>
      </c>
      <c r="F64" s="9">
        <f>25913+40388+170799</f>
        <v>237100</v>
      </c>
      <c r="G64" s="9">
        <f>44771+41656+158608</f>
        <v>245035</v>
      </c>
      <c r="H64" s="9">
        <f>37988+42104+145319</f>
        <v>225411</v>
      </c>
      <c r="I64" s="9">
        <f>50530+44084+115996</f>
        <v>210610</v>
      </c>
      <c r="J64" s="9">
        <f>48844+51713+105341</f>
        <v>205898</v>
      </c>
      <c r="K64" s="9">
        <f>39771+67391+99899</f>
        <v>207061</v>
      </c>
      <c r="L64" s="9">
        <f>40174+53877+98793</f>
        <v>192844</v>
      </c>
      <c r="M64" s="9">
        <f>3383+59642+100592</f>
        <v>163617</v>
      </c>
      <c r="N64" s="9">
        <f>38016+52927+100887</f>
        <v>191830</v>
      </c>
      <c r="O64" s="9">
        <f>36010+40816+118745</f>
        <v>195571</v>
      </c>
      <c r="P64" s="32">
        <f>38466+31368+134539</f>
        <v>204373</v>
      </c>
      <c r="Q64" s="9">
        <f>34050+27646+131948</f>
        <v>193644</v>
      </c>
      <c r="R64" s="9">
        <f>34940+27699+127877</f>
        <v>190516</v>
      </c>
      <c r="S64" s="9">
        <f>37119+26794+138683</f>
        <v>202596</v>
      </c>
      <c r="T64" s="9">
        <f>28098+23413+141219</f>
        <v>192730</v>
      </c>
      <c r="U64" s="9">
        <f>27502+20729+131077</f>
        <v>179308</v>
      </c>
      <c r="V64" s="9">
        <f>23646+24658+120805</f>
        <v>169109</v>
      </c>
      <c r="W64" s="9">
        <f>20535+30820+114095</f>
        <v>165450</v>
      </c>
      <c r="X64" s="21">
        <f>24687+31185+110461</f>
        <v>166333</v>
      </c>
    </row>
    <row r="65" spans="1:24" x14ac:dyDescent="0.35">
      <c r="B65" s="9" t="s">
        <v>76</v>
      </c>
      <c r="C65" s="9">
        <v>23440</v>
      </c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>
        <f>30213</f>
        <v>30213</v>
      </c>
      <c r="T65" s="9">
        <v>20815</v>
      </c>
      <c r="U65" s="9">
        <v>21803</v>
      </c>
      <c r="V65" s="9">
        <v>28184</v>
      </c>
      <c r="W65" s="9">
        <v>23752</v>
      </c>
      <c r="X65" s="21">
        <v>17936</v>
      </c>
    </row>
    <row r="66" spans="1:24" x14ac:dyDescent="0.35">
      <c r="B66" s="9" t="s">
        <v>77</v>
      </c>
      <c r="C66" s="9">
        <v>4421</v>
      </c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>
        <v>5876</v>
      </c>
      <c r="T66" s="9">
        <v>5460</v>
      </c>
      <c r="U66" s="9">
        <v>5433</v>
      </c>
      <c r="V66" s="9">
        <v>4946</v>
      </c>
      <c r="W66" s="9">
        <v>6820</v>
      </c>
      <c r="X66" s="21">
        <v>7482</v>
      </c>
    </row>
    <row r="67" spans="1:24" x14ac:dyDescent="0.35">
      <c r="B67" s="9" t="s">
        <v>78</v>
      </c>
      <c r="C67" s="9">
        <v>27459</v>
      </c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>
        <v>35040</v>
      </c>
      <c r="T67" s="9">
        <v>24585</v>
      </c>
      <c r="U67" s="9">
        <v>20439</v>
      </c>
      <c r="V67" s="9">
        <v>32748</v>
      </c>
      <c r="W67" s="9">
        <v>30428</v>
      </c>
      <c r="X67" s="21">
        <v>17963</v>
      </c>
    </row>
    <row r="68" spans="1:24" x14ac:dyDescent="0.35">
      <c r="B68" s="9" t="s">
        <v>79</v>
      </c>
      <c r="C68" s="9">
        <v>11337</v>
      </c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>
        <v>18112</v>
      </c>
      <c r="T68" s="9">
        <v>15809</v>
      </c>
      <c r="U68" s="9">
        <v>16386</v>
      </c>
      <c r="V68" s="9">
        <v>21223</v>
      </c>
      <c r="W68" s="9">
        <v>16422</v>
      </c>
      <c r="X68" s="21">
        <v>13660</v>
      </c>
    </row>
    <row r="69" spans="1:24" x14ac:dyDescent="0.35">
      <c r="B69" s="9" t="s">
        <v>80</v>
      </c>
      <c r="C69" s="9">
        <v>33679</v>
      </c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>
        <v>39245</v>
      </c>
      <c r="T69" s="9">
        <v>39304</v>
      </c>
      <c r="U69" s="9">
        <v>40335</v>
      </c>
      <c r="V69" s="9">
        <v>42117</v>
      </c>
      <c r="W69" s="9">
        <v>42951</v>
      </c>
      <c r="X69" s="21">
        <v>43398</v>
      </c>
    </row>
    <row r="70" spans="1:24" x14ac:dyDescent="0.35">
      <c r="B70" s="9" t="s">
        <v>81</v>
      </c>
      <c r="C70" s="9">
        <v>13323</v>
      </c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>
        <v>50109</v>
      </c>
      <c r="T70" s="9">
        <v>51959</v>
      </c>
      <c r="U70" s="9">
        <v>52605</v>
      </c>
      <c r="V70" s="9">
        <v>54428</v>
      </c>
      <c r="W70" s="9">
        <v>60924</v>
      </c>
      <c r="X70" s="21">
        <v>65388</v>
      </c>
    </row>
    <row r="71" spans="1:24" x14ac:dyDescent="0.35">
      <c r="A71" t="s">
        <v>25</v>
      </c>
      <c r="B71" s="9" t="s">
        <v>82</v>
      </c>
      <c r="C71" s="9">
        <f>SUM(C64:C70)</f>
        <v>398756</v>
      </c>
      <c r="D71" s="9">
        <f t="shared" ref="D71:V71" si="122">SUM(D64:D70)</f>
        <v>267226</v>
      </c>
      <c r="E71" s="9">
        <f t="shared" si="122"/>
        <v>243743</v>
      </c>
      <c r="F71" s="9">
        <f t="shared" si="122"/>
        <v>237100</v>
      </c>
      <c r="G71" s="9">
        <f t="shared" si="122"/>
        <v>245035</v>
      </c>
      <c r="H71" s="9">
        <f t="shared" si="122"/>
        <v>225411</v>
      </c>
      <c r="I71" s="9">
        <f t="shared" si="122"/>
        <v>210610</v>
      </c>
      <c r="J71" s="9">
        <f t="shared" si="122"/>
        <v>205898</v>
      </c>
      <c r="K71" s="9">
        <f t="shared" si="122"/>
        <v>207061</v>
      </c>
      <c r="L71" s="9">
        <f t="shared" si="122"/>
        <v>192844</v>
      </c>
      <c r="M71" s="9">
        <f t="shared" si="122"/>
        <v>163617</v>
      </c>
      <c r="N71" s="9">
        <f t="shared" si="122"/>
        <v>191830</v>
      </c>
      <c r="O71" s="9">
        <f t="shared" si="122"/>
        <v>195571</v>
      </c>
      <c r="P71" s="9">
        <f t="shared" si="122"/>
        <v>204373</v>
      </c>
      <c r="Q71" s="9">
        <f t="shared" si="122"/>
        <v>193644</v>
      </c>
      <c r="R71" s="9">
        <f t="shared" si="122"/>
        <v>190516</v>
      </c>
      <c r="S71" s="9">
        <f t="shared" si="122"/>
        <v>381191</v>
      </c>
      <c r="T71" s="9">
        <f t="shared" si="122"/>
        <v>350662</v>
      </c>
      <c r="U71" s="9">
        <f>SUM(U64:U70)</f>
        <v>336309</v>
      </c>
      <c r="V71" s="9">
        <f t="shared" si="122"/>
        <v>352755</v>
      </c>
      <c r="W71" s="9">
        <f>SUM(W64:W70)</f>
        <v>346747</v>
      </c>
      <c r="X71" s="21">
        <f>SUM(X64:X70)</f>
        <v>332160</v>
      </c>
    </row>
    <row r="72" spans="1:24" x14ac:dyDescent="0.35">
      <c r="X72" s="24"/>
    </row>
    <row r="73" spans="1:24" x14ac:dyDescent="0.35">
      <c r="A73" t="s">
        <v>25</v>
      </c>
      <c r="B73" s="9" t="s">
        <v>83</v>
      </c>
      <c r="C73" s="28">
        <v>62985</v>
      </c>
      <c r="S73" s="28">
        <v>74362</v>
      </c>
      <c r="T73" s="9">
        <v>52682</v>
      </c>
      <c r="U73" s="28">
        <f>48343</f>
        <v>48343</v>
      </c>
      <c r="V73" s="9">
        <v>64115</v>
      </c>
      <c r="W73" s="9">
        <v>57918</v>
      </c>
      <c r="X73" s="21">
        <v>42945</v>
      </c>
    </row>
    <row r="74" spans="1:24" x14ac:dyDescent="0.35">
      <c r="B74" s="9" t="s">
        <v>84</v>
      </c>
      <c r="C74" s="28">
        <f>26281+11980+6498</f>
        <v>44759</v>
      </c>
      <c r="S74" s="28">
        <v>49167</v>
      </c>
      <c r="T74" s="9">
        <v>50248</v>
      </c>
      <c r="U74" s="28">
        <v>48811</v>
      </c>
      <c r="V74" s="9">
        <v>60845</v>
      </c>
      <c r="W74" s="9">
        <v>59893</v>
      </c>
      <c r="X74" s="21">
        <v>56425</v>
      </c>
    </row>
    <row r="75" spans="1:24" x14ac:dyDescent="0.35">
      <c r="B75" s="9" t="s">
        <v>85</v>
      </c>
      <c r="C75" s="28">
        <f>3131+8044</f>
        <v>11175</v>
      </c>
      <c r="S75" s="28">
        <v>7876</v>
      </c>
      <c r="T75" s="9">
        <v>7920</v>
      </c>
      <c r="U75" s="28">
        <v>7728</v>
      </c>
      <c r="V75" s="9">
        <v>7912</v>
      </c>
      <c r="W75" s="9">
        <v>7992</v>
      </c>
      <c r="X75" s="21">
        <v>8131</v>
      </c>
    </row>
    <row r="76" spans="1:24" x14ac:dyDescent="0.35">
      <c r="B76" s="9" t="s">
        <v>86</v>
      </c>
      <c r="C76" s="28">
        <v>103922</v>
      </c>
      <c r="S76" s="28">
        <f>5000+11169+106629</f>
        <v>122798</v>
      </c>
      <c r="T76">
        <f>6999+9659+103323</f>
        <v>119981</v>
      </c>
      <c r="U76" s="28">
        <f>10982+14009+94700</f>
        <v>119691</v>
      </c>
      <c r="V76" s="28">
        <f>9982+11128+98959</f>
        <v>120069</v>
      </c>
      <c r="W76" s="9">
        <f>1743+9740+99627</f>
        <v>111110</v>
      </c>
      <c r="X76" s="21">
        <f>1996+10578+97041</f>
        <v>109615</v>
      </c>
    </row>
    <row r="77" spans="1:24" x14ac:dyDescent="0.35">
      <c r="B77" s="9" t="s">
        <v>87</v>
      </c>
      <c r="C77" s="28">
        <v>43754</v>
      </c>
      <c r="S77" s="28">
        <v>55056</v>
      </c>
      <c r="T77" s="9">
        <v>52432</v>
      </c>
      <c r="U77" s="28">
        <f>53629</f>
        <v>53629</v>
      </c>
      <c r="V77" s="9">
        <v>49142</v>
      </c>
      <c r="W77" s="9">
        <v>53107</v>
      </c>
      <c r="X77" s="21">
        <v>52886</v>
      </c>
    </row>
    <row r="78" spans="1:24" x14ac:dyDescent="0.35">
      <c r="B78" s="9" t="s">
        <v>88</v>
      </c>
      <c r="C78" s="28">
        <f>36447+104593-841</f>
        <v>140199</v>
      </c>
      <c r="S78" s="28">
        <v>71932</v>
      </c>
      <c r="T78" s="9">
        <v>67399</v>
      </c>
      <c r="U78" s="28">
        <v>58107</v>
      </c>
      <c r="V78" s="9">
        <v>50672</v>
      </c>
      <c r="W78" s="9">
        <v>56727</v>
      </c>
      <c r="X78" s="21">
        <v>62158</v>
      </c>
    </row>
    <row r="79" spans="1:24" x14ac:dyDescent="0.35">
      <c r="A79" t="s">
        <v>25</v>
      </c>
      <c r="B79" s="9" t="s">
        <v>89</v>
      </c>
      <c r="C79" s="28">
        <f>C78+SUM(C73:C77)</f>
        <v>406794</v>
      </c>
      <c r="S79" s="28">
        <f>SUM(S73:S78)</f>
        <v>381191</v>
      </c>
      <c r="T79" s="9">
        <f>SUM(T73:T78)</f>
        <v>350662</v>
      </c>
      <c r="U79" s="28">
        <f>SUM(U73:U78)</f>
        <v>336309</v>
      </c>
      <c r="V79" s="9">
        <f>SUM(V73:V78)</f>
        <v>352755</v>
      </c>
      <c r="W79" s="9">
        <f>SUM(W73:W78)</f>
        <v>346747</v>
      </c>
      <c r="X79" s="21">
        <f>SUM(X73:X78)</f>
        <v>332160</v>
      </c>
    </row>
    <row r="80" spans="1:24" x14ac:dyDescent="0.35">
      <c r="X80" s="24"/>
    </row>
    <row r="81" spans="1:24" x14ac:dyDescent="0.35">
      <c r="A81" t="s">
        <v>25</v>
      </c>
      <c r="B81" s="9" t="s">
        <v>90</v>
      </c>
      <c r="C81" s="9">
        <f>C42</f>
        <v>20065</v>
      </c>
      <c r="D81" s="9">
        <f t="shared" ref="D81:X81" si="123">D42</f>
        <v>13822</v>
      </c>
      <c r="E81" s="9">
        <f t="shared" si="123"/>
        <v>11519</v>
      </c>
      <c r="F81" s="9">
        <f t="shared" si="123"/>
        <v>14125</v>
      </c>
      <c r="G81" s="9">
        <f t="shared" si="123"/>
        <v>19965</v>
      </c>
      <c r="H81" s="9">
        <f t="shared" si="123"/>
        <v>10805</v>
      </c>
      <c r="I81" s="9">
        <f t="shared" si="123"/>
        <v>9310</v>
      </c>
      <c r="J81" s="9">
        <f t="shared" si="123"/>
        <v>12682</v>
      </c>
      <c r="K81" s="9">
        <f t="shared" si="123"/>
        <v>22236</v>
      </c>
      <c r="L81" s="9">
        <f t="shared" si="123"/>
        <v>11249</v>
      </c>
      <c r="M81" s="9">
        <f t="shared" si="123"/>
        <v>11253</v>
      </c>
      <c r="N81" s="9">
        <f t="shared" si="123"/>
        <v>12673</v>
      </c>
      <c r="O81" s="9">
        <f t="shared" si="123"/>
        <v>28755</v>
      </c>
      <c r="P81" s="9">
        <f t="shared" si="123"/>
        <v>23630</v>
      </c>
      <c r="Q81" s="9">
        <f t="shared" si="123"/>
        <v>21744</v>
      </c>
      <c r="R81" s="9">
        <f t="shared" si="123"/>
        <v>20551</v>
      </c>
      <c r="S81" s="28">
        <f t="shared" si="123"/>
        <v>34630</v>
      </c>
      <c r="T81" s="28">
        <f t="shared" si="123"/>
        <v>25010</v>
      </c>
      <c r="U81" s="28">
        <f t="shared" si="123"/>
        <v>19442</v>
      </c>
      <c r="V81" s="28">
        <f t="shared" si="123"/>
        <v>20721</v>
      </c>
      <c r="W81" s="28">
        <f t="shared" si="123"/>
        <v>29998</v>
      </c>
      <c r="X81" s="35">
        <f t="shared" si="123"/>
        <v>24160</v>
      </c>
    </row>
    <row r="82" spans="1:24" x14ac:dyDescent="0.35">
      <c r="B82" s="9" t="s">
        <v>91</v>
      </c>
      <c r="C82" s="28">
        <v>20065</v>
      </c>
      <c r="S82" s="28">
        <v>34630</v>
      </c>
      <c r="T82" s="28">
        <f>59640-S82</f>
        <v>25010</v>
      </c>
      <c r="U82" s="28">
        <v>19442</v>
      </c>
      <c r="V82" s="28">
        <f>99803-U82-T82-S82</f>
        <v>20721</v>
      </c>
      <c r="W82" s="28">
        <v>29998</v>
      </c>
      <c r="X82" s="35">
        <f>54158-W82</f>
        <v>24160</v>
      </c>
    </row>
    <row r="83" spans="1:24" x14ac:dyDescent="0.35">
      <c r="B83" s="9" t="s">
        <v>92</v>
      </c>
      <c r="C83">
        <v>2745</v>
      </c>
      <c r="S83" s="28">
        <v>2697</v>
      </c>
      <c r="T83" s="28">
        <f>5434-S83</f>
        <v>2737</v>
      </c>
      <c r="U83" s="28">
        <f>8239-T83-S83</f>
        <v>2805</v>
      </c>
      <c r="V83" s="28">
        <v>11104</v>
      </c>
      <c r="W83" s="28">
        <v>2916</v>
      </c>
      <c r="X83" s="35">
        <f>5814-W83</f>
        <v>2898</v>
      </c>
    </row>
    <row r="84" spans="1:24" x14ac:dyDescent="0.35">
      <c r="B84" s="9" t="s">
        <v>93</v>
      </c>
      <c r="C84">
        <v>1296</v>
      </c>
      <c r="S84" s="28">
        <v>2265</v>
      </c>
      <c r="T84" s="28">
        <f>4517-S84</f>
        <v>2252</v>
      </c>
      <c r="U84" s="28">
        <f>6760-T84-S84</f>
        <v>2243</v>
      </c>
      <c r="V84" s="28">
        <f>9038-U84-T84-S84</f>
        <v>2278</v>
      </c>
      <c r="W84" s="28">
        <v>2905</v>
      </c>
      <c r="X84" s="35">
        <f>5591-W84</f>
        <v>2686</v>
      </c>
    </row>
    <row r="85" spans="1:24" x14ac:dyDescent="0.35">
      <c r="B85" s="9" t="s">
        <v>94</v>
      </c>
      <c r="C85">
        <v>-11</v>
      </c>
      <c r="S85" s="28">
        <v>849</v>
      </c>
      <c r="T85" s="28">
        <f>-20-S85</f>
        <v>-869</v>
      </c>
      <c r="U85" s="28">
        <f>-61</f>
        <v>-61</v>
      </c>
      <c r="V85" s="28">
        <f>111-U85-T85-S85</f>
        <v>192</v>
      </c>
      <c r="W85" s="28">
        <v>-317</v>
      </c>
      <c r="X85" s="35">
        <f>-1732-W85</f>
        <v>-1415</v>
      </c>
    </row>
    <row r="86" spans="1:24" x14ac:dyDescent="0.35">
      <c r="B86" s="9" t="s">
        <v>95</v>
      </c>
      <c r="C86" s="34"/>
      <c r="D86" s="58">
        <f>(3523-2807+9715-1053-13220+478+39158)-37935</f>
        <v>-2141</v>
      </c>
      <c r="E86" s="58">
        <f>(3756-1114+5536-65-11139-103+37009)-D86-37935</f>
        <v>-1914</v>
      </c>
      <c r="F86" s="58">
        <f>(-5322+828-8010-423+9175-3+38449)-E86-D86-37935</f>
        <v>814</v>
      </c>
      <c r="G86" s="58">
        <f>5130-1076+6905-886-8501-370+570</f>
        <v>1772</v>
      </c>
      <c r="H86" s="58">
        <f>8094-1006+14616-717-20024-540-3273-G86</f>
        <v>-4622</v>
      </c>
      <c r="I86" s="58">
        <f>9013+496+13483+693-19804-776-8753-H86-G86</f>
        <v>-2798</v>
      </c>
      <c r="J86" s="58">
        <f>245-289+2931+873-1923-625-4700-I86-H86-G86</f>
        <v>2160</v>
      </c>
      <c r="K86" s="58">
        <f>2015-28+3902-7054-1089+985+5514</f>
        <v>4245</v>
      </c>
      <c r="L86" s="58">
        <f>7284+699+7923-8866-13520+1223+7500-K86</f>
        <v>-2002</v>
      </c>
      <c r="M86" s="58">
        <f>5149+10+8685-6760-10787+1649+3867-L86-K86</f>
        <v>-430</v>
      </c>
      <c r="N86" s="58">
        <f>6917-127+1553-9588-4062+2081+8916-M86-L86-K86</f>
        <v>3877</v>
      </c>
      <c r="O86" s="58">
        <f>-10945-950-10194-3526+21670+1341+7959</f>
        <v>5355</v>
      </c>
      <c r="P86" s="58">
        <f>-2347-1226+6792-4333-1997+1642+3045-O86</f>
        <v>-3779</v>
      </c>
      <c r="Q86" s="58">
        <f>-1316-1213+4892-5899-1786+1738+463-P86-O86</f>
        <v>-4697</v>
      </c>
      <c r="R86" s="58">
        <f>-10125-2642-3903-8042+12326+1676+5799-Q86-P86-O86</f>
        <v>-1790</v>
      </c>
      <c r="S86" s="58">
        <f>-3934+681-9812-4921+19813+462+4236</f>
        <v>6525</v>
      </c>
      <c r="T86" s="58">
        <f>5542+1065+643-3542-1750+627+1888-S86</f>
        <v>-2052</v>
      </c>
      <c r="U86" s="58">
        <f>4561+1049+4789-3289-6108+260-14-T86</f>
        <v>3300</v>
      </c>
      <c r="V86" s="58">
        <f>-1823+1484-7520-6499+9448+478+5632-U86-T86-S86</f>
        <v>-6573</v>
      </c>
      <c r="W86" s="58">
        <f>4275-1807+2320-4099-6075+131+3758</f>
        <v>-1497</v>
      </c>
      <c r="X86" s="59">
        <f>9596-2548+14785-4092-20764+1757-W86</f>
        <v>231</v>
      </c>
    </row>
    <row r="87" spans="1:24" x14ac:dyDescent="0.35">
      <c r="A87" t="s">
        <v>25</v>
      </c>
      <c r="B87" t="s">
        <v>96</v>
      </c>
      <c r="S87" s="28">
        <f>SUM(S82:S86)</f>
        <v>46966</v>
      </c>
      <c r="T87" s="28">
        <f>SUM(T82:T86)</f>
        <v>27078</v>
      </c>
      <c r="U87" s="28">
        <f t="shared" ref="U87:V87" si="124">SUM(U82:U86)</f>
        <v>27729</v>
      </c>
      <c r="V87" s="28">
        <f t="shared" si="124"/>
        <v>27722</v>
      </c>
      <c r="W87" s="9">
        <f>SUM(W82:W86)</f>
        <v>34005</v>
      </c>
      <c r="X87" s="21">
        <f>SUM(X82:X86)</f>
        <v>28560</v>
      </c>
    </row>
    <row r="88" spans="1:24" x14ac:dyDescent="0.35">
      <c r="V88" s="28"/>
      <c r="X88" s="24"/>
    </row>
    <row r="89" spans="1:24" x14ac:dyDescent="0.35">
      <c r="A89" t="s">
        <v>25</v>
      </c>
      <c r="B89" s="9" t="s">
        <v>97</v>
      </c>
      <c r="S89" s="28">
        <f>-34913+11309+10675</f>
        <v>-12929</v>
      </c>
      <c r="T89" s="28">
        <f>-61987+18000+24668-S89</f>
        <v>-6390</v>
      </c>
      <c r="U89" s="28">
        <f>-70178+24203+33609-T89-S89</f>
        <v>6953</v>
      </c>
      <c r="V89" s="28">
        <f>-76923+29917+37446-U89-T89-S89</f>
        <v>2806</v>
      </c>
      <c r="W89" s="28">
        <f>-5153+7127+509</f>
        <v>2483</v>
      </c>
      <c r="X89" s="35">
        <f>-11197+17124+1897-W89</f>
        <v>5341</v>
      </c>
    </row>
    <row r="90" spans="1:24" x14ac:dyDescent="0.35">
      <c r="B90" s="9" t="s">
        <v>98</v>
      </c>
      <c r="S90" s="28">
        <v>-2803</v>
      </c>
      <c r="T90" s="28">
        <f>-5317-S90</f>
        <v>-2514</v>
      </c>
      <c r="U90" s="28">
        <f>-7419-T90-S90</f>
        <v>-2102</v>
      </c>
      <c r="V90" s="28">
        <f>-10708-U90-T90-S90</f>
        <v>-3289</v>
      </c>
      <c r="W90" s="28">
        <v>-3787</v>
      </c>
      <c r="X90" s="35">
        <f>-6703-W90</f>
        <v>-2916</v>
      </c>
    </row>
    <row r="91" spans="1:24" x14ac:dyDescent="0.35">
      <c r="B91" s="9" t="s">
        <v>94</v>
      </c>
      <c r="S91" s="28">
        <v>-374</v>
      </c>
      <c r="T91" s="28">
        <f>-568-S91</f>
        <v>-194</v>
      </c>
      <c r="U91" s="28">
        <f>-1183-T91-S91</f>
        <v>-615</v>
      </c>
      <c r="V91" s="28">
        <f>-1780</f>
        <v>-1780</v>
      </c>
      <c r="W91" s="28">
        <v>-141</v>
      </c>
      <c r="X91" s="35">
        <f>-247-W91</f>
        <v>-106</v>
      </c>
    </row>
    <row r="92" spans="1:24" x14ac:dyDescent="0.35">
      <c r="A92" t="s">
        <v>25</v>
      </c>
      <c r="B92" s="9" t="s">
        <v>99</v>
      </c>
      <c r="S92" s="28">
        <f>SUM(S89:S91)</f>
        <v>-16106</v>
      </c>
      <c r="T92" s="28">
        <f t="shared" ref="T92:V92" si="125">SUM(T89:T91)</f>
        <v>-9098</v>
      </c>
      <c r="U92" s="28">
        <f t="shared" si="125"/>
        <v>4236</v>
      </c>
      <c r="V92" s="28">
        <f t="shared" si="125"/>
        <v>-2263</v>
      </c>
      <c r="W92" s="28">
        <f>SUM(W89:W91)</f>
        <v>-1445</v>
      </c>
      <c r="X92" s="35">
        <f>SUM(X89:X91)</f>
        <v>2319</v>
      </c>
    </row>
    <row r="93" spans="1:24" x14ac:dyDescent="0.35">
      <c r="X93" s="24"/>
    </row>
    <row r="94" spans="1:24" x14ac:dyDescent="0.35">
      <c r="A94" t="s">
        <v>25</v>
      </c>
      <c r="B94" s="9" t="s">
        <v>100</v>
      </c>
      <c r="S94" s="28">
        <v>-2888</v>
      </c>
      <c r="T94" s="28">
        <f>-3218-S94</f>
        <v>-330</v>
      </c>
      <c r="U94" s="28">
        <f>-5915-T94-S94</f>
        <v>-2697</v>
      </c>
      <c r="V94" s="28">
        <f>-6223-U94-T94-S94</f>
        <v>-308</v>
      </c>
      <c r="W94" s="28">
        <v>-2316</v>
      </c>
      <c r="X94" s="35">
        <f>-2734-W94</f>
        <v>-418</v>
      </c>
    </row>
    <row r="95" spans="1:24" x14ac:dyDescent="0.35">
      <c r="B95" s="9" t="s">
        <v>101</v>
      </c>
      <c r="S95" s="28">
        <v>-3732</v>
      </c>
      <c r="T95" s="28">
        <f>-7327-S95</f>
        <v>-3595</v>
      </c>
      <c r="U95" s="28">
        <f>-11138-T95-S95</f>
        <v>-3811</v>
      </c>
      <c r="V95" s="28">
        <f>-14841-U95-T95-S95</f>
        <v>-3703</v>
      </c>
      <c r="W95" s="28">
        <v>-3768</v>
      </c>
      <c r="X95" s="35">
        <f>-7418-W95</f>
        <v>-3650</v>
      </c>
    </row>
    <row r="96" spans="1:24" x14ac:dyDescent="0.35">
      <c r="B96" s="9" t="s">
        <v>102</v>
      </c>
      <c r="S96" s="28">
        <v>-20478</v>
      </c>
      <c r="T96" s="28">
        <f>-43109-S96</f>
        <v>-22631</v>
      </c>
      <c r="U96" s="28">
        <f>-64974-T96-S96</f>
        <v>-21865</v>
      </c>
      <c r="V96" s="28">
        <f>-89402-U96-T96-S96</f>
        <v>-24428</v>
      </c>
      <c r="W96" s="28">
        <v>-19475</v>
      </c>
      <c r="X96" s="35">
        <f>-39069-W96</f>
        <v>-19594</v>
      </c>
    </row>
    <row r="97" spans="1:24" x14ac:dyDescent="0.35">
      <c r="B97" s="9" t="s">
        <v>86</v>
      </c>
      <c r="S97" s="28">
        <f>0-1000</f>
        <v>-1000</v>
      </c>
      <c r="T97" s="28">
        <f>-3750+999</f>
        <v>-2751</v>
      </c>
      <c r="U97" s="28">
        <f>-6750+4970</f>
        <v>-1780</v>
      </c>
      <c r="V97" s="28">
        <f>(-9543+3955)-U97-T97-S97</f>
        <v>-57</v>
      </c>
      <c r="W97" s="28">
        <f>-1401-8214</f>
        <v>-9615</v>
      </c>
      <c r="X97" s="35">
        <f>-3651-7960-W97</f>
        <v>-1996</v>
      </c>
    </row>
    <row r="98" spans="1:24" x14ac:dyDescent="0.35">
      <c r="B98" s="9" t="s">
        <v>94</v>
      </c>
      <c r="S98" s="28">
        <v>-61</v>
      </c>
      <c r="T98" s="28">
        <f>-105</f>
        <v>-105</v>
      </c>
      <c r="U98" s="28">
        <f>-148</f>
        <v>-148</v>
      </c>
      <c r="V98" s="28">
        <f>-160-U98-T98-S98</f>
        <v>154</v>
      </c>
      <c r="W98" s="28">
        <v>-389</v>
      </c>
      <c r="X98" s="35">
        <f>-455-W98</f>
        <v>-66</v>
      </c>
    </row>
    <row r="99" spans="1:24" x14ac:dyDescent="0.35">
      <c r="A99" t="s">
        <v>25</v>
      </c>
      <c r="B99" s="9" t="s">
        <v>103</v>
      </c>
      <c r="S99" s="28">
        <f>SUM(S94:S98)</f>
        <v>-28159</v>
      </c>
      <c r="T99" s="28">
        <f>SUM(T94:T98)</f>
        <v>-29412</v>
      </c>
      <c r="U99" s="28">
        <f>SUM(U94:U98)</f>
        <v>-30301</v>
      </c>
      <c r="V99" s="28">
        <f>SUM(V94:V98)</f>
        <v>-28342</v>
      </c>
      <c r="W99" s="28">
        <f>SUM(W94:W98)</f>
        <v>-35563</v>
      </c>
      <c r="X99" s="35">
        <f>SUM(X94:X98)</f>
        <v>-25724</v>
      </c>
    </row>
    <row r="100" spans="1:24" x14ac:dyDescent="0.35">
      <c r="X100" s="24"/>
    </row>
    <row r="101" spans="1:24" x14ac:dyDescent="0.35">
      <c r="A101" t="s">
        <v>25</v>
      </c>
      <c r="B101" s="9" t="s">
        <v>104</v>
      </c>
      <c r="S101" s="28">
        <f>S99+S92+S87</f>
        <v>2701</v>
      </c>
      <c r="T101" s="28">
        <f t="shared" ref="T101:V101" si="126">T99+T92+T87</f>
        <v>-11432</v>
      </c>
      <c r="U101" s="28">
        <f>U99+U92+U87</f>
        <v>1664</v>
      </c>
      <c r="V101" s="28">
        <f t="shared" si="126"/>
        <v>-2883</v>
      </c>
      <c r="W101" s="28">
        <f>W99+W92+W87</f>
        <v>-3003</v>
      </c>
      <c r="X101" s="21">
        <f>X99+X92+X87</f>
        <v>5155</v>
      </c>
    </row>
    <row r="102" spans="1:24" x14ac:dyDescent="0.35">
      <c r="X102" s="24"/>
    </row>
    <row r="103" spans="1:24" x14ac:dyDescent="0.35">
      <c r="T103" s="28"/>
      <c r="X103" s="24"/>
    </row>
    <row r="104" spans="1:24" x14ac:dyDescent="0.35">
      <c r="T104" s="28"/>
      <c r="X104" s="24"/>
    </row>
    <row r="105" spans="1:24" x14ac:dyDescent="0.35">
      <c r="X105" s="24"/>
    </row>
    <row r="106" spans="1:24" x14ac:dyDescent="0.35">
      <c r="X106" s="24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Cover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 Wilburn</dc:creator>
  <cp:lastModifiedBy>Adrian Wilburn</cp:lastModifiedBy>
  <dcterms:created xsi:type="dcterms:W3CDTF">2023-06-18T02:02:17Z</dcterms:created>
  <dcterms:modified xsi:type="dcterms:W3CDTF">2023-06-26T04:44:46Z</dcterms:modified>
</cp:coreProperties>
</file>